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ugh/Documents/Documents/Press/"/>
    </mc:Choice>
  </mc:AlternateContent>
  <xr:revisionPtr revIDLastSave="0" documentId="8_{356DEDEB-FCBB-4546-9367-1CA7DC2D78EE}" xr6:coauthVersionLast="47" xr6:coauthVersionMax="47" xr10:uidLastSave="{00000000-0000-0000-0000-000000000000}"/>
  <bookViews>
    <workbookView xWindow="0" yWindow="760" windowWidth="34560" windowHeight="21580" activeTab="5" xr2:uid="{CFA90B27-15DE-EB4E-9E79-317FCE2BDCE9}"/>
  </bookViews>
  <sheets>
    <sheet name="Calculator" sheetId="5" r:id="rId1"/>
    <sheet name="Days" sheetId="1" r:id="rId2"/>
    <sheet name="Nights &amp; Weekends" sheetId="3" r:id="rId3"/>
    <sheet name="Bank Hol" sheetId="4" r:id="rId4"/>
    <sheet name="Pay scales" sheetId="2" r:id="rId5"/>
    <sheet name="Govt Receipt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E26" i="7"/>
  <c r="E6" i="7"/>
  <c r="E22" i="7" s="1"/>
  <c r="E10" i="7" l="1"/>
  <c r="E20" i="7" s="1"/>
  <c r="E55" i="4"/>
  <c r="E53" i="4"/>
  <c r="D21" i="5"/>
  <c r="E51" i="3"/>
  <c r="E49" i="3"/>
  <c r="Q31" i="3" s="1"/>
  <c r="E51" i="4"/>
  <c r="E49" i="4"/>
  <c r="E45" i="4"/>
  <c r="E45" i="3"/>
  <c r="E57" i="1"/>
  <c r="E55" i="1"/>
  <c r="E47" i="3"/>
  <c r="E47" i="4"/>
  <c r="I34" i="5"/>
  <c r="M33" i="5"/>
  <c r="O33" i="5"/>
  <c r="Q33" i="5"/>
  <c r="G32" i="5"/>
  <c r="E21" i="5"/>
  <c r="Q41" i="5" s="1"/>
  <c r="E14" i="5"/>
  <c r="O34" i="5" s="1"/>
  <c r="T25" i="5"/>
  <c r="S25" i="5"/>
  <c r="R25" i="5"/>
  <c r="T24" i="5"/>
  <c r="S24" i="5"/>
  <c r="R24" i="5"/>
  <c r="T23" i="5"/>
  <c r="S23" i="5"/>
  <c r="R23" i="5"/>
  <c r="T18" i="5"/>
  <c r="S18" i="5"/>
  <c r="R18" i="5"/>
  <c r="T17" i="5"/>
  <c r="S17" i="5"/>
  <c r="R17" i="5"/>
  <c r="T16" i="5"/>
  <c r="S16" i="5"/>
  <c r="R16" i="5"/>
  <c r="Q27" i="4"/>
  <c r="Q33" i="4" s="1"/>
  <c r="P27" i="4"/>
  <c r="P33" i="4" s="1"/>
  <c r="O27" i="4"/>
  <c r="N27" i="4"/>
  <c r="M27" i="4"/>
  <c r="M33" i="4" s="1"/>
  <c r="L27" i="4"/>
  <c r="K27" i="4"/>
  <c r="J27" i="4"/>
  <c r="I27" i="4"/>
  <c r="H27" i="4"/>
  <c r="G27" i="4"/>
  <c r="G33" i="4" s="1"/>
  <c r="F27" i="4"/>
  <c r="F31" i="4" s="1"/>
  <c r="Q14" i="4"/>
  <c r="Q8" i="4"/>
  <c r="P8" i="4"/>
  <c r="P12" i="4" s="1"/>
  <c r="O8" i="4"/>
  <c r="O14" i="4" s="1"/>
  <c r="N8" i="4"/>
  <c r="M8" i="4"/>
  <c r="L8" i="4"/>
  <c r="K8" i="4"/>
  <c r="J8" i="4"/>
  <c r="I8" i="4"/>
  <c r="I14" i="4" s="1"/>
  <c r="H8" i="4"/>
  <c r="G8" i="4"/>
  <c r="F8" i="4"/>
  <c r="Q27" i="3"/>
  <c r="Q33" i="3" s="1"/>
  <c r="P27" i="3"/>
  <c r="P33" i="3" s="1"/>
  <c r="O27" i="3"/>
  <c r="O31" i="3" s="1"/>
  <c r="N27" i="3"/>
  <c r="N31" i="3" s="1"/>
  <c r="M27" i="3"/>
  <c r="L27" i="3"/>
  <c r="L31" i="3" s="1"/>
  <c r="K27" i="3"/>
  <c r="J27" i="3"/>
  <c r="I27" i="3"/>
  <c r="H27" i="3"/>
  <c r="G27" i="3"/>
  <c r="G33" i="3" s="1"/>
  <c r="F27" i="3"/>
  <c r="F31" i="3" s="1"/>
  <c r="Q8" i="3"/>
  <c r="Q12" i="3" s="1"/>
  <c r="P8" i="3"/>
  <c r="P12" i="3" s="1"/>
  <c r="O8" i="3"/>
  <c r="N8" i="3"/>
  <c r="N12" i="3" s="1"/>
  <c r="M8" i="3"/>
  <c r="L8" i="3"/>
  <c r="K8" i="3"/>
  <c r="J8" i="3"/>
  <c r="J14" i="3" s="1"/>
  <c r="I8" i="3"/>
  <c r="I14" i="3" s="1"/>
  <c r="H8" i="3"/>
  <c r="H12" i="3" s="1"/>
  <c r="G8" i="3"/>
  <c r="G12" i="3" s="1"/>
  <c r="F8" i="3"/>
  <c r="F12" i="3" s="1"/>
  <c r="Q27" i="1"/>
  <c r="Q33" i="1" s="1"/>
  <c r="P27" i="1"/>
  <c r="P33" i="1" s="1"/>
  <c r="O27" i="1"/>
  <c r="O33" i="1" s="1"/>
  <c r="N27" i="1"/>
  <c r="N31" i="1" s="1"/>
  <c r="M27" i="1"/>
  <c r="M33" i="1" s="1"/>
  <c r="L27" i="1"/>
  <c r="L31" i="1" s="1"/>
  <c r="K27" i="1"/>
  <c r="K31" i="1" s="1"/>
  <c r="J27" i="1"/>
  <c r="J33" i="1" s="1"/>
  <c r="I27" i="1"/>
  <c r="I33" i="1" s="1"/>
  <c r="H27" i="1"/>
  <c r="H33" i="1" s="1"/>
  <c r="G27" i="1"/>
  <c r="G33" i="1" s="1"/>
  <c r="F27" i="1"/>
  <c r="F33" i="1" s="1"/>
  <c r="Q8" i="1"/>
  <c r="Q14" i="1" s="1"/>
  <c r="P8" i="1"/>
  <c r="P12" i="1" s="1"/>
  <c r="N8" i="1"/>
  <c r="N12" i="1" s="1"/>
  <c r="M8" i="1"/>
  <c r="M14" i="1" s="1"/>
  <c r="O8" i="1"/>
  <c r="O14" i="1" s="1"/>
  <c r="L8" i="1"/>
  <c r="L14" i="1" s="1"/>
  <c r="K8" i="1"/>
  <c r="K14" i="1" s="1"/>
  <c r="J8" i="1"/>
  <c r="J14" i="1" s="1"/>
  <c r="I8" i="1"/>
  <c r="I12" i="1" s="1"/>
  <c r="H8" i="1"/>
  <c r="H14" i="1" s="1"/>
  <c r="G8" i="1"/>
  <c r="G14" i="1" s="1"/>
  <c r="F8" i="1"/>
  <c r="F14" i="1" s="1"/>
  <c r="U23" i="5" l="1"/>
  <c r="N33" i="5"/>
  <c r="P31" i="3"/>
  <c r="I32" i="5"/>
  <c r="F34" i="5"/>
  <c r="G31" i="3"/>
  <c r="H32" i="5"/>
  <c r="H33" i="5"/>
  <c r="L14" i="3"/>
  <c r="J31" i="3"/>
  <c r="N14" i="4"/>
  <c r="L32" i="5"/>
  <c r="G34" i="5"/>
  <c r="F33" i="3"/>
  <c r="F35" i="3" s="1"/>
  <c r="K32" i="5"/>
  <c r="H34" i="5"/>
  <c r="U25" i="5"/>
  <c r="P32" i="5"/>
  <c r="O14" i="3"/>
  <c r="M33" i="3"/>
  <c r="F33" i="5"/>
  <c r="J34" i="5"/>
  <c r="P33" i="5"/>
  <c r="P34" i="5"/>
  <c r="E12" i="7"/>
  <c r="E16" i="7" s="1"/>
  <c r="E24" i="7" s="1"/>
  <c r="E28" i="7" s="1"/>
  <c r="M32" i="5"/>
  <c r="G33" i="5"/>
  <c r="Q34" i="5"/>
  <c r="L34" i="5"/>
  <c r="R34" i="5" s="1"/>
  <c r="J32" i="5"/>
  <c r="S32" i="5" s="1"/>
  <c r="L33" i="5"/>
  <c r="M34" i="5"/>
  <c r="F32" i="5"/>
  <c r="Q32" i="5"/>
  <c r="J33" i="5"/>
  <c r="U24" i="5"/>
  <c r="J31" i="4"/>
  <c r="L31" i="4"/>
  <c r="F12" i="4"/>
  <c r="G12" i="4"/>
  <c r="Q12" i="4"/>
  <c r="N31" i="4"/>
  <c r="H12" i="4"/>
  <c r="O31" i="4"/>
  <c r="K33" i="1"/>
  <c r="J12" i="1"/>
  <c r="J16" i="1" s="1"/>
  <c r="J18" i="1" s="1"/>
  <c r="N33" i="1"/>
  <c r="N32" i="5"/>
  <c r="I33" i="5"/>
  <c r="N34" i="5"/>
  <c r="J39" i="5"/>
  <c r="H40" i="5"/>
  <c r="F41" i="5"/>
  <c r="P41" i="5"/>
  <c r="L39" i="5"/>
  <c r="J40" i="5"/>
  <c r="H41" i="5"/>
  <c r="M39" i="5"/>
  <c r="K40" i="5"/>
  <c r="I41" i="5"/>
  <c r="N39" i="5"/>
  <c r="L40" i="5"/>
  <c r="J41" i="5"/>
  <c r="O39" i="5"/>
  <c r="M40" i="5"/>
  <c r="K41" i="5"/>
  <c r="F39" i="5"/>
  <c r="P39" i="5"/>
  <c r="N40" i="5"/>
  <c r="L41" i="5"/>
  <c r="G39" i="5"/>
  <c r="Q39" i="5"/>
  <c r="O40" i="5"/>
  <c r="M41" i="5"/>
  <c r="H39" i="5"/>
  <c r="F40" i="5"/>
  <c r="P40" i="5"/>
  <c r="N41" i="5"/>
  <c r="O32" i="5"/>
  <c r="K33" i="5"/>
  <c r="T33" i="5" s="1"/>
  <c r="K34" i="5"/>
  <c r="I39" i="5"/>
  <c r="G40" i="5"/>
  <c r="Q40" i="5"/>
  <c r="O41" i="5"/>
  <c r="K39" i="5"/>
  <c r="I40" i="5"/>
  <c r="G41" i="5"/>
  <c r="U17" i="5"/>
  <c r="U18" i="5"/>
  <c r="U16" i="5"/>
  <c r="F14" i="3"/>
  <c r="F16" i="3" s="1"/>
  <c r="G14" i="3"/>
  <c r="G16" i="3" s="1"/>
  <c r="M31" i="1"/>
  <c r="M35" i="1" s="1"/>
  <c r="M37" i="1" s="1"/>
  <c r="H14" i="3"/>
  <c r="H16" i="3" s="1"/>
  <c r="P14" i="3"/>
  <c r="P16" i="3" s="1"/>
  <c r="G35" i="3"/>
  <c r="Q14" i="3"/>
  <c r="Q16" i="3" s="1"/>
  <c r="H14" i="4"/>
  <c r="H16" i="4" s="1"/>
  <c r="L33" i="1"/>
  <c r="L35" i="1" s="1"/>
  <c r="L37" i="1" s="1"/>
  <c r="P14" i="4"/>
  <c r="F33" i="4"/>
  <c r="F35" i="4" s="1"/>
  <c r="G31" i="4"/>
  <c r="G35" i="4" s="1"/>
  <c r="P31" i="4"/>
  <c r="P35" i="4" s="1"/>
  <c r="Q31" i="4"/>
  <c r="Q35" i="4" s="1"/>
  <c r="F14" i="4"/>
  <c r="G14" i="4"/>
  <c r="I12" i="4"/>
  <c r="I16" i="4" s="1"/>
  <c r="N33" i="4"/>
  <c r="O33" i="4"/>
  <c r="P16" i="4"/>
  <c r="Q16" i="4"/>
  <c r="I12" i="3"/>
  <c r="I16" i="3" s="1"/>
  <c r="P35" i="3"/>
  <c r="O33" i="3"/>
  <c r="O35" i="3" s="1"/>
  <c r="Q35" i="3"/>
  <c r="N33" i="3"/>
  <c r="N35" i="3" s="1"/>
  <c r="J12" i="4"/>
  <c r="I31" i="4"/>
  <c r="L12" i="4"/>
  <c r="M12" i="4"/>
  <c r="K14" i="4"/>
  <c r="I33" i="4"/>
  <c r="N12" i="4"/>
  <c r="N16" i="4" s="1"/>
  <c r="L14" i="4"/>
  <c r="J33" i="4"/>
  <c r="J35" i="4" s="1"/>
  <c r="O12" i="4"/>
  <c r="O16" i="4" s="1"/>
  <c r="M31" i="4"/>
  <c r="M35" i="4" s="1"/>
  <c r="L33" i="4"/>
  <c r="H31" i="4"/>
  <c r="K12" i="4"/>
  <c r="J14" i="4"/>
  <c r="H33" i="4"/>
  <c r="K31" i="4"/>
  <c r="M14" i="4"/>
  <c r="K33" i="4"/>
  <c r="K35" i="4" s="1"/>
  <c r="J12" i="3"/>
  <c r="J16" i="3" s="1"/>
  <c r="H31" i="3"/>
  <c r="K12" i="3"/>
  <c r="I31" i="3"/>
  <c r="H33" i="3"/>
  <c r="M12" i="3"/>
  <c r="M16" i="3" s="1"/>
  <c r="K14" i="3"/>
  <c r="I33" i="3"/>
  <c r="J33" i="3"/>
  <c r="O12" i="3"/>
  <c r="O16" i="3" s="1"/>
  <c r="N14" i="3"/>
  <c r="N16" i="3" s="1"/>
  <c r="L33" i="3"/>
  <c r="L35" i="3" s="1"/>
  <c r="L12" i="3"/>
  <c r="K31" i="3"/>
  <c r="M14" i="3"/>
  <c r="M31" i="3"/>
  <c r="K33" i="3"/>
  <c r="O31" i="1"/>
  <c r="G31" i="1"/>
  <c r="F31" i="1"/>
  <c r="P31" i="1"/>
  <c r="P35" i="1" s="1"/>
  <c r="P37" i="1" s="1"/>
  <c r="Q31" i="1"/>
  <c r="Q35" i="1" s="1"/>
  <c r="Q37" i="1" s="1"/>
  <c r="H31" i="1"/>
  <c r="H35" i="1" s="1"/>
  <c r="H37" i="1" s="1"/>
  <c r="I31" i="1"/>
  <c r="I35" i="1" s="1"/>
  <c r="I37" i="1" s="1"/>
  <c r="J31" i="1"/>
  <c r="K12" i="1"/>
  <c r="K16" i="1" s="1"/>
  <c r="K18" i="1" s="1"/>
  <c r="P14" i="1"/>
  <c r="P16" i="1" s="1"/>
  <c r="P18" i="1" s="1"/>
  <c r="O35" i="1"/>
  <c r="O37" i="1" s="1"/>
  <c r="G35" i="1"/>
  <c r="G37" i="1" s="1"/>
  <c r="F35" i="1"/>
  <c r="F37" i="1" s="1"/>
  <c r="L12" i="1"/>
  <c r="L16" i="1" s="1"/>
  <c r="L18" i="1" s="1"/>
  <c r="O12" i="1"/>
  <c r="O16" i="1" s="1"/>
  <c r="O18" i="1" s="1"/>
  <c r="K35" i="1"/>
  <c r="K37" i="1" s="1"/>
  <c r="N35" i="1"/>
  <c r="N37" i="1" s="1"/>
  <c r="N14" i="1"/>
  <c r="N16" i="1" s="1"/>
  <c r="N18" i="1" s="1"/>
  <c r="M12" i="1"/>
  <c r="M16" i="1" s="1"/>
  <c r="M18" i="1" s="1"/>
  <c r="F12" i="1"/>
  <c r="G12" i="1"/>
  <c r="G16" i="1" s="1"/>
  <c r="G18" i="1" s="1"/>
  <c r="Q12" i="1"/>
  <c r="Q16" i="1" s="1"/>
  <c r="Q18" i="1" s="1"/>
  <c r="I14" i="1"/>
  <c r="I16" i="1" s="1"/>
  <c r="I18" i="1" s="1"/>
  <c r="H12" i="1"/>
  <c r="H16" i="1" s="1"/>
  <c r="H18" i="1" s="1"/>
  <c r="J35" i="3" l="1"/>
  <c r="M35" i="3"/>
  <c r="U26" i="5"/>
  <c r="V26" i="5" s="1"/>
  <c r="L16" i="3"/>
  <c r="K16" i="3"/>
  <c r="S34" i="5"/>
  <c r="U34" i="5" s="1"/>
  <c r="T34" i="5"/>
  <c r="S33" i="5"/>
  <c r="T32" i="5"/>
  <c r="S41" i="5"/>
  <c r="R32" i="5"/>
  <c r="R33" i="5"/>
  <c r="O35" i="4"/>
  <c r="N35" i="4"/>
  <c r="G16" i="4"/>
  <c r="F16" i="4"/>
  <c r="L35" i="4"/>
  <c r="S39" i="5"/>
  <c r="K37" i="3"/>
  <c r="K37" i="4"/>
  <c r="K41" i="4" s="1"/>
  <c r="K57" i="5" s="1"/>
  <c r="I37" i="4"/>
  <c r="I37" i="3"/>
  <c r="N37" i="4"/>
  <c r="N41" i="4" s="1"/>
  <c r="N57" i="5" s="1"/>
  <c r="N37" i="3"/>
  <c r="N41" i="3" s="1"/>
  <c r="N56" i="5" s="1"/>
  <c r="H37" i="4"/>
  <c r="H37" i="3"/>
  <c r="Q37" i="4"/>
  <c r="Q41" i="4" s="1"/>
  <c r="Q57" i="5" s="1"/>
  <c r="Q37" i="3"/>
  <c r="Q41" i="3" s="1"/>
  <c r="Q56" i="5" s="1"/>
  <c r="M37" i="3"/>
  <c r="M41" i="3" s="1"/>
  <c r="M56" i="5" s="1"/>
  <c r="M37" i="4"/>
  <c r="M41" i="4" s="1"/>
  <c r="M57" i="5" s="1"/>
  <c r="P37" i="4"/>
  <c r="P41" i="4" s="1"/>
  <c r="P57" i="5" s="1"/>
  <c r="P37" i="3"/>
  <c r="P41" i="3" s="1"/>
  <c r="P56" i="5" s="1"/>
  <c r="F37" i="4"/>
  <c r="F37" i="3"/>
  <c r="F41" i="3" s="1"/>
  <c r="F56" i="5" s="1"/>
  <c r="G37" i="3"/>
  <c r="G41" i="3" s="1"/>
  <c r="G56" i="5" s="1"/>
  <c r="G37" i="4"/>
  <c r="G41" i="4" s="1"/>
  <c r="G57" i="5" s="1"/>
  <c r="O37" i="4"/>
  <c r="O41" i="4" s="1"/>
  <c r="O57" i="5" s="1"/>
  <c r="O37" i="3"/>
  <c r="O41" i="3" s="1"/>
  <c r="O56" i="5" s="1"/>
  <c r="L37" i="4"/>
  <c r="L41" i="4" s="1"/>
  <c r="L57" i="5" s="1"/>
  <c r="L37" i="3"/>
  <c r="L41" i="3" s="1"/>
  <c r="L56" i="5" s="1"/>
  <c r="R41" i="5"/>
  <c r="T39" i="5"/>
  <c r="R39" i="5"/>
  <c r="U33" i="5"/>
  <c r="T41" i="5"/>
  <c r="S40" i="5"/>
  <c r="U19" i="5"/>
  <c r="V19" i="5" s="1"/>
  <c r="T40" i="5"/>
  <c r="R40" i="5"/>
  <c r="L41" i="1"/>
  <c r="L55" i="5" s="1"/>
  <c r="M41" i="1"/>
  <c r="M55" i="5" s="1"/>
  <c r="K41" i="1"/>
  <c r="K55" i="5" s="1"/>
  <c r="I22" i="1"/>
  <c r="I48" i="5" s="1"/>
  <c r="I18" i="4"/>
  <c r="I22" i="4" s="1"/>
  <c r="I50" i="5" s="1"/>
  <c r="I18" i="3"/>
  <c r="I22" i="3" s="1"/>
  <c r="I49" i="5" s="1"/>
  <c r="Q41" i="1"/>
  <c r="Q55" i="5" s="1"/>
  <c r="Q22" i="1"/>
  <c r="Q48" i="5" s="1"/>
  <c r="Q18" i="4"/>
  <c r="Q22" i="4" s="1"/>
  <c r="Q50" i="5" s="1"/>
  <c r="Q18" i="3"/>
  <c r="Q22" i="3" s="1"/>
  <c r="Q49" i="5" s="1"/>
  <c r="P41" i="1"/>
  <c r="P55" i="5" s="1"/>
  <c r="G22" i="1"/>
  <c r="G48" i="5" s="1"/>
  <c r="G18" i="4"/>
  <c r="G22" i="4" s="1"/>
  <c r="G50" i="5" s="1"/>
  <c r="G18" i="3"/>
  <c r="G22" i="3" s="1"/>
  <c r="G49" i="5" s="1"/>
  <c r="M22" i="1"/>
  <c r="M48" i="5" s="1"/>
  <c r="M18" i="3"/>
  <c r="M22" i="3" s="1"/>
  <c r="M49" i="5" s="1"/>
  <c r="M18" i="4"/>
  <c r="N22" i="1"/>
  <c r="N48" i="5" s="1"/>
  <c r="N18" i="3"/>
  <c r="N22" i="3" s="1"/>
  <c r="N49" i="5" s="1"/>
  <c r="N18" i="4"/>
  <c r="N22" i="4" s="1"/>
  <c r="N50" i="5" s="1"/>
  <c r="N41" i="1"/>
  <c r="N55" i="5" s="1"/>
  <c r="H22" i="1"/>
  <c r="H48" i="5" s="1"/>
  <c r="H18" i="4"/>
  <c r="H22" i="4" s="1"/>
  <c r="H50" i="5" s="1"/>
  <c r="H18" i="3"/>
  <c r="H22" i="3" s="1"/>
  <c r="H49" i="5" s="1"/>
  <c r="H41" i="1"/>
  <c r="H55" i="5" s="1"/>
  <c r="O22" i="1"/>
  <c r="O48" i="5" s="1"/>
  <c r="O18" i="3"/>
  <c r="O22" i="3" s="1"/>
  <c r="O49" i="5" s="1"/>
  <c r="O18" i="4"/>
  <c r="O22" i="4" s="1"/>
  <c r="O50" i="5" s="1"/>
  <c r="L22" i="1"/>
  <c r="L48" i="5" s="1"/>
  <c r="L18" i="3"/>
  <c r="L22" i="3" s="1"/>
  <c r="L49" i="5" s="1"/>
  <c r="L18" i="4"/>
  <c r="F41" i="1"/>
  <c r="F55" i="5" s="1"/>
  <c r="F41" i="4"/>
  <c r="F57" i="5" s="1"/>
  <c r="G41" i="1"/>
  <c r="G55" i="5" s="1"/>
  <c r="O41" i="1"/>
  <c r="O55" i="5" s="1"/>
  <c r="P22" i="1"/>
  <c r="P48" i="5" s="1"/>
  <c r="P18" i="4"/>
  <c r="P22" i="4" s="1"/>
  <c r="P50" i="5" s="1"/>
  <c r="P18" i="3"/>
  <c r="P22" i="3" s="1"/>
  <c r="P49" i="5" s="1"/>
  <c r="K22" i="1"/>
  <c r="K48" i="5" s="1"/>
  <c r="K18" i="4"/>
  <c r="K18" i="3"/>
  <c r="K22" i="3" s="1"/>
  <c r="K49" i="5" s="1"/>
  <c r="J22" i="1"/>
  <c r="J48" i="5" s="1"/>
  <c r="J18" i="4"/>
  <c r="J18" i="3"/>
  <c r="J22" i="3" s="1"/>
  <c r="J49" i="5" s="1"/>
  <c r="I41" i="1"/>
  <c r="I55" i="5" s="1"/>
  <c r="I35" i="3"/>
  <c r="I41" i="3" s="1"/>
  <c r="I56" i="5" s="1"/>
  <c r="I35" i="4"/>
  <c r="I41" i="4" s="1"/>
  <c r="I57" i="5" s="1"/>
  <c r="K16" i="4"/>
  <c r="H35" i="4"/>
  <c r="M16" i="4"/>
  <c r="L16" i="4"/>
  <c r="J16" i="4"/>
  <c r="K35" i="3"/>
  <c r="H35" i="3"/>
  <c r="J35" i="1"/>
  <c r="J37" i="1" s="1"/>
  <c r="F16" i="1"/>
  <c r="F18" i="1" s="1"/>
  <c r="U32" i="5" l="1"/>
  <c r="J22" i="4"/>
  <c r="J50" i="5" s="1"/>
  <c r="U39" i="5"/>
  <c r="H41" i="3"/>
  <c r="H56" i="5" s="1"/>
  <c r="U41" i="5"/>
  <c r="U40" i="5"/>
  <c r="U35" i="5"/>
  <c r="T55" i="5"/>
  <c r="J37" i="3"/>
  <c r="J41" i="3" s="1"/>
  <c r="J56" i="5" s="1"/>
  <c r="S56" i="5" s="1"/>
  <c r="J37" i="4"/>
  <c r="J41" i="4" s="1"/>
  <c r="J57" i="5" s="1"/>
  <c r="S57" i="5" s="1"/>
  <c r="R56" i="5"/>
  <c r="K41" i="3"/>
  <c r="K56" i="5" s="1"/>
  <c r="R57" i="5"/>
  <c r="R55" i="5"/>
  <c r="T48" i="5"/>
  <c r="S49" i="5"/>
  <c r="S48" i="5"/>
  <c r="T49" i="5"/>
  <c r="M22" i="4"/>
  <c r="M50" i="5" s="1"/>
  <c r="H41" i="4"/>
  <c r="H57" i="5" s="1"/>
  <c r="T57" i="5" s="1"/>
  <c r="K22" i="4"/>
  <c r="K50" i="5" s="1"/>
  <c r="T50" i="5" s="1"/>
  <c r="L22" i="4"/>
  <c r="L50" i="5" s="1"/>
  <c r="J41" i="1"/>
  <c r="J55" i="5" s="1"/>
  <c r="S55" i="5" s="1"/>
  <c r="F22" i="1"/>
  <c r="F48" i="5" s="1"/>
  <c r="R48" i="5" s="1"/>
  <c r="F18" i="4"/>
  <c r="F22" i="4" s="1"/>
  <c r="F50" i="5" s="1"/>
  <c r="F18" i="3"/>
  <c r="F22" i="3" s="1"/>
  <c r="F49" i="5" s="1"/>
  <c r="R49" i="5" s="1"/>
  <c r="S50" i="5" l="1"/>
  <c r="T56" i="5"/>
  <c r="U56" i="5" s="1"/>
  <c r="U49" i="5"/>
  <c r="U42" i="5"/>
  <c r="U55" i="5"/>
  <c r="U57" i="5"/>
  <c r="R50" i="5"/>
  <c r="U48" i="5"/>
  <c r="U50" i="5" l="1"/>
  <c r="U51" i="5" s="1"/>
  <c r="U58" i="5"/>
  <c r="U60" i="5" l="1"/>
</calcChain>
</file>

<file path=xl/sharedStrings.xml><?xml version="1.0" encoding="utf-8"?>
<sst xmlns="http://schemas.openxmlformats.org/spreadsheetml/2006/main" count="397" uniqueCount="89">
  <si>
    <t>Estimate of Nurse cost to NHS</t>
  </si>
  <si>
    <t>&lt; 2yrs</t>
  </si>
  <si>
    <t>&gt;2 yrs</t>
  </si>
  <si>
    <t>&gt;4yrs</t>
  </si>
  <si>
    <t xml:space="preserve">https://nhspayscales.co.uk/nhs-pay-scales-2024-25-predicted/ </t>
  </si>
  <si>
    <t>Employers NI</t>
  </si>
  <si>
    <t>Pension</t>
  </si>
  <si>
    <t xml:space="preserve">https://www.which.co.uk/money/pensions-and-retirement/company-pensions/public-sector-pensions-explained/nhs-pension-schemes-explained-aDjEz6F6ki6Z </t>
  </si>
  <si>
    <t>Apprenticeship levy</t>
  </si>
  <si>
    <t xml:space="preserve">https://www.gov.uk/guidance/pay-apprenticeship-levy </t>
  </si>
  <si>
    <t>Total cost</t>
  </si>
  <si>
    <t>Hourly cost</t>
  </si>
  <si>
    <t xml:space="preserve">https://www.healthcareers.nhs.uk/working-health/working-nhs/nhs-pay-and-benefits </t>
  </si>
  <si>
    <t>At least 80% of our nurses have &gt;4years experience.</t>
  </si>
  <si>
    <t>Years of experience</t>
  </si>
  <si>
    <t>Confirmed National pay 2024/25</t>
  </si>
  <si>
    <t>Inner London pay 2024/25</t>
  </si>
  <si>
    <t>Fringe pay 2024/25</t>
  </si>
  <si>
    <t>0-2</t>
  </si>
  <si>
    <t>4+</t>
  </si>
  <si>
    <t>2-4</t>
  </si>
  <si>
    <t>Band 5</t>
  </si>
  <si>
    <t>5+</t>
  </si>
  <si>
    <t>2-5</t>
  </si>
  <si>
    <r>
      <t>Outer</t>
    </r>
    <r>
      <rPr>
        <sz val="12"/>
        <color rgb="FF212B32"/>
        <rFont val="Avenir Book"/>
        <family val="2"/>
      </rPr>
      <t> </t>
    </r>
    <r>
      <rPr>
        <sz val="12"/>
        <color rgb="FF212B32"/>
        <rFont val="Avenir Book"/>
        <family val="2"/>
      </rPr>
      <t>London pay 2024/25</t>
    </r>
  </si>
  <si>
    <r>
      <t>Outer</t>
    </r>
    <r>
      <rPr>
        <sz val="12"/>
        <color theme="1"/>
        <rFont val="Avenir Book"/>
        <family val="2"/>
      </rPr>
      <t> </t>
    </r>
    <r>
      <rPr>
        <sz val="12"/>
        <color theme="1"/>
        <rFont val="Avenir Book"/>
        <family val="2"/>
      </rPr>
      <t>London pay 2024/25</t>
    </r>
  </si>
  <si>
    <t>National Pay</t>
  </si>
  <si>
    <t>BAND 5</t>
  </si>
  <si>
    <t>Inner London</t>
  </si>
  <si>
    <t>Outer London</t>
  </si>
  <si>
    <t>Fringe</t>
  </si>
  <si>
    <t>https://zelt.app/blog/how-to-calculate-employers-ni-employer-s-ni-calculator-2024-2025-2026/</t>
  </si>
  <si>
    <t>Annual days holiday p.a.</t>
  </si>
  <si>
    <t>Working week (hrs)</t>
  </si>
  <si>
    <t>Pension rate</t>
  </si>
  <si>
    <t>Framework charge rate (Excl VAT)</t>
  </si>
  <si>
    <t>Saving to Govt using agency</t>
  </si>
  <si>
    <t>BAND 6</t>
  </si>
  <si>
    <t>Basic Pay</t>
  </si>
  <si>
    <t xml:space="preserve">https://www.england.nhs.uk/publication/price-card/ </t>
  </si>
  <si>
    <t>Night &amp; Weekend uplift</t>
  </si>
  <si>
    <t>Bank Holiday uplift</t>
  </si>
  <si>
    <t>Day Rates</t>
  </si>
  <si>
    <t>Night &amp; Weekend Rates</t>
  </si>
  <si>
    <t>Bank Holiday Rates</t>
  </si>
  <si>
    <t>Overall Cost savings calculator</t>
  </si>
  <si>
    <t>NHS Agency spend</t>
  </si>
  <si>
    <t>Proportion nursing</t>
  </si>
  <si>
    <t>Day</t>
  </si>
  <si>
    <t>Nights &amp; Weekends</t>
  </si>
  <si>
    <t>Bank Hol</t>
  </si>
  <si>
    <t>Std</t>
  </si>
  <si>
    <t>Inner</t>
  </si>
  <si>
    <t>Outer</t>
  </si>
  <si>
    <t>Band 6</t>
  </si>
  <si>
    <t>&lt;2 yrs</t>
  </si>
  <si>
    <t>&gt;2yrs</t>
  </si>
  <si>
    <t>&gt;5yrs</t>
  </si>
  <si>
    <t>Total</t>
  </si>
  <si>
    <t>%age of fill</t>
  </si>
  <si>
    <t>Estimated hours (extrapolated)</t>
  </si>
  <si>
    <t>VAT rate</t>
  </si>
  <si>
    <t>Estimated savings to Govt using agency staff</t>
  </si>
  <si>
    <t>Working days in a year</t>
  </si>
  <si>
    <t xml:space="preserve">https://uk-bankholidays.co.uk/working-days.html </t>
  </si>
  <si>
    <t>Less Annual Holidays</t>
  </si>
  <si>
    <t>Working weeks</t>
  </si>
  <si>
    <t>NHS Night &amp; Weekend uplift</t>
  </si>
  <si>
    <t>NHS Bank Holiday uplift</t>
  </si>
  <si>
    <t xml:space="preserve">https://www.nhsemployers.org/articles/unsocial-hours-payments </t>
  </si>
  <si>
    <t>Candidate pay</t>
  </si>
  <si>
    <t>Actual GP to agencies</t>
  </si>
  <si>
    <t>Net profit margin</t>
  </si>
  <si>
    <t>Profit to agencies</t>
  </si>
  <si>
    <t>Total PAYE expense</t>
  </si>
  <si>
    <t>VAT paid to govt</t>
  </si>
  <si>
    <t>Cash to govt</t>
  </si>
  <si>
    <t>Agency figure excl VAT</t>
  </si>
  <si>
    <t>GP margin agency</t>
  </si>
  <si>
    <t>Corporation tax to govt</t>
  </si>
  <si>
    <t>CT</t>
  </si>
  <si>
    <t>Candidate PAYE paid to govt</t>
  </si>
  <si>
    <t>Agency staff PAYE to govt</t>
  </si>
  <si>
    <t>%age costs staff</t>
  </si>
  <si>
    <t>Agency PAYE %age</t>
  </si>
  <si>
    <t>Money that the government receives from the Agency cost figure</t>
  </si>
  <si>
    <t>Savings to the public purse of using agency workers</t>
  </si>
  <si>
    <t>SAVING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</si>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</sst>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_);[Red]\(&quot;£&quot;#,##0\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venir Book"/>
      <family val="2"/>
    </font>
    <font>
      <sz val="12"/>
      <color theme="1"/>
      <name val="Avenir Book"/>
      <family val="2"/>
    </font>
    <font>
      <sz val="12"/>
      <color rgb="FF212B32"/>
      <name val="Avenir Book"/>
      <family val="2"/>
    </font>
    <font>
      <sz val="12"/>
      <color rgb="FF212B32"/>
      <name val="Avenir Book"/>
      <family val="2"/>
    </font>
    <font>
      <sz val="12"/>
      <color theme="1"/>
      <name val="Avenir Book"/>
      <family val="2"/>
    </font>
    <font>
      <b/>
      <sz val="12"/>
      <color theme="1"/>
      <name val="Aptos Narrow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i/>
      <sz val="12"/>
      <color theme="1"/>
      <name val="Aptos Narrow"/>
      <scheme val="minor"/>
    </font>
    <font>
      <b/>
      <sz val="12"/>
      <color rgb="FFFF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3" fillId="0" borderId="0" xfId="3"/>
    <xf numFmtId="43" fontId="0" fillId="0" borderId="0" xfId="1" applyFont="1"/>
    <xf numFmtId="10" fontId="0" fillId="2" borderId="0" xfId="0" applyNumberFormat="1" applyFill="1"/>
    <xf numFmtId="164" fontId="0" fillId="0" borderId="0" xfId="0" applyNumberFormat="1"/>
    <xf numFmtId="10" fontId="0" fillId="0" borderId="0" xfId="0" applyNumberFormat="1"/>
    <xf numFmtId="164" fontId="0" fillId="0" borderId="1" xfId="0" applyNumberFormat="1" applyBorder="1"/>
    <xf numFmtId="43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" fontId="7" fillId="0" borderId="0" xfId="0" quotePrefix="1" applyNumberFormat="1" applyFont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9" fillId="0" borderId="0" xfId="0" applyFont="1"/>
    <xf numFmtId="0" fontId="0" fillId="2" borderId="0" xfId="0" applyFill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0" fillId="0" borderId="0" xfId="1" applyNumberFormat="1" applyFont="1" applyFill="1"/>
    <xf numFmtId="0" fontId="3" fillId="0" borderId="0" xfId="3" applyFill="1"/>
    <xf numFmtId="43" fontId="0" fillId="0" borderId="7" xfId="0" applyNumberFormat="1" applyBorder="1"/>
    <xf numFmtId="0" fontId="10" fillId="0" borderId="0" xfId="0" applyFont="1"/>
    <xf numFmtId="0" fontId="11" fillId="0" borderId="0" xfId="0" applyFont="1"/>
    <xf numFmtId="164" fontId="0" fillId="2" borderId="0" xfId="1" applyNumberFormat="1" applyFont="1" applyFill="1"/>
    <xf numFmtId="9" fontId="0" fillId="2" borderId="0" xfId="0" applyNumberFormat="1" applyFill="1"/>
    <xf numFmtId="9" fontId="0" fillId="0" borderId="0" xfId="0" applyNumberFormat="1"/>
    <xf numFmtId="10" fontId="0" fillId="2" borderId="0" xfId="2" applyNumberFormat="1" applyFont="1" applyFill="1"/>
    <xf numFmtId="10" fontId="0" fillId="0" borderId="0" xfId="2" applyNumberFormat="1" applyFont="1"/>
    <xf numFmtId="10" fontId="0" fillId="0" borderId="1" xfId="0" applyNumberFormat="1" applyBorder="1"/>
    <xf numFmtId="0" fontId="12" fillId="0" borderId="0" xfId="0" applyFont="1"/>
    <xf numFmtId="164" fontId="0" fillId="0" borderId="1" xfId="1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/>
    <xf numFmtId="9" fontId="0" fillId="4" borderId="0" xfId="0" applyNumberFormat="1" applyFill="1"/>
    <xf numFmtId="164" fontId="0" fillId="5" borderId="7" xfId="0" applyNumberFormat="1" applyFill="1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164" fontId="0" fillId="6" borderId="6" xfId="0" applyNumberFormat="1" applyFill="1" applyBorder="1"/>
    <xf numFmtId="164" fontId="9" fillId="6" borderId="7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gland.nhs.uk/publication/price-card/" TargetMode="External"/><Relationship Id="rId3" Type="http://schemas.openxmlformats.org/officeDocument/2006/relationships/hyperlink" Target="https://nhspayscales.co.uk/nhs-pay-scales-2024-25-predicted/" TargetMode="External"/><Relationship Id="rId7" Type="http://schemas.openxmlformats.org/officeDocument/2006/relationships/hyperlink" Target="https://www.england.nhs.uk/publication/price-card/" TargetMode="External"/><Relationship Id="rId2" Type="http://schemas.openxmlformats.org/officeDocument/2006/relationships/hyperlink" Target="https://www.which.co.uk/money/pensions-and-retirement/company-pensions/public-sector-pensions-explained/nhs-pension-schemes-explained-aDjEz6F6ki6Z" TargetMode="External"/><Relationship Id="rId1" Type="http://schemas.openxmlformats.org/officeDocument/2006/relationships/hyperlink" Target="https://www.healthcareers.nhs.uk/working-health/working-nhs/nhs-pay-and-benefits" TargetMode="External"/><Relationship Id="rId6" Type="http://schemas.openxmlformats.org/officeDocument/2006/relationships/hyperlink" Target="https://nhspayscales.co.uk/nhs-pay-scales-2024-25-predicted/" TargetMode="External"/><Relationship Id="rId5" Type="http://schemas.openxmlformats.org/officeDocument/2006/relationships/hyperlink" Target="https://www.healthcareers.nhs.uk/working-health/working-nhs/nhs-pay-and-benefits" TargetMode="External"/><Relationship Id="rId4" Type="http://schemas.openxmlformats.org/officeDocument/2006/relationships/hyperlink" Target="https://www.gov.uk/guidance/pay-apprenticeship-levy" TargetMode="External"/><Relationship Id="rId9" Type="http://schemas.openxmlformats.org/officeDocument/2006/relationships/hyperlink" Target="https://uk-bankholidays.co.uk/working-days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gland.nhs.uk/publication/price-card/" TargetMode="External"/><Relationship Id="rId3" Type="http://schemas.openxmlformats.org/officeDocument/2006/relationships/hyperlink" Target="https://nhspayscales.co.uk/nhs-pay-scales-2024-25-predicted/" TargetMode="External"/><Relationship Id="rId7" Type="http://schemas.openxmlformats.org/officeDocument/2006/relationships/hyperlink" Target="https://www.england.nhs.uk/publication/price-card/" TargetMode="External"/><Relationship Id="rId2" Type="http://schemas.openxmlformats.org/officeDocument/2006/relationships/hyperlink" Target="https://www.which.co.uk/money/pensions-and-retirement/company-pensions/public-sector-pensions-explained/nhs-pension-schemes-explained-aDjEz6F6ki6Z" TargetMode="External"/><Relationship Id="rId1" Type="http://schemas.openxmlformats.org/officeDocument/2006/relationships/hyperlink" Target="https://www.healthcareers.nhs.uk/working-health/working-nhs/nhs-pay-and-benefits" TargetMode="External"/><Relationship Id="rId6" Type="http://schemas.openxmlformats.org/officeDocument/2006/relationships/hyperlink" Target="https://nhspayscales.co.uk/nhs-pay-scales-2024-25-predicted/" TargetMode="External"/><Relationship Id="rId5" Type="http://schemas.openxmlformats.org/officeDocument/2006/relationships/hyperlink" Target="https://www.healthcareers.nhs.uk/working-health/working-nhs/nhs-pay-and-benefits" TargetMode="External"/><Relationship Id="rId10" Type="http://schemas.openxmlformats.org/officeDocument/2006/relationships/hyperlink" Target="https://www.nhsemployers.org/articles/unsocial-hours-payments" TargetMode="External"/><Relationship Id="rId4" Type="http://schemas.openxmlformats.org/officeDocument/2006/relationships/hyperlink" Target="https://www.gov.uk/guidance/pay-apprenticeship-levy" TargetMode="External"/><Relationship Id="rId9" Type="http://schemas.openxmlformats.org/officeDocument/2006/relationships/hyperlink" Target="https://www.nhsemployers.org/articles/unsocial-hours-payment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gland.nhs.uk/publication/price-card/" TargetMode="External"/><Relationship Id="rId3" Type="http://schemas.openxmlformats.org/officeDocument/2006/relationships/hyperlink" Target="https://nhspayscales.co.uk/nhs-pay-scales-2024-25-predicted/" TargetMode="External"/><Relationship Id="rId7" Type="http://schemas.openxmlformats.org/officeDocument/2006/relationships/hyperlink" Target="https://www.england.nhs.uk/publication/price-card/" TargetMode="External"/><Relationship Id="rId2" Type="http://schemas.openxmlformats.org/officeDocument/2006/relationships/hyperlink" Target="https://www.which.co.uk/money/pensions-and-retirement/company-pensions/public-sector-pensions-explained/nhs-pension-schemes-explained-aDjEz6F6ki6Z" TargetMode="External"/><Relationship Id="rId1" Type="http://schemas.openxmlformats.org/officeDocument/2006/relationships/hyperlink" Target="https://www.healthcareers.nhs.uk/working-health/working-nhs/nhs-pay-and-benefits" TargetMode="External"/><Relationship Id="rId6" Type="http://schemas.openxmlformats.org/officeDocument/2006/relationships/hyperlink" Target="https://nhspayscales.co.uk/nhs-pay-scales-2024-25-predicted/" TargetMode="External"/><Relationship Id="rId5" Type="http://schemas.openxmlformats.org/officeDocument/2006/relationships/hyperlink" Target="https://www.healthcareers.nhs.uk/working-health/working-nhs/nhs-pay-and-benefits" TargetMode="External"/><Relationship Id="rId4" Type="http://schemas.openxmlformats.org/officeDocument/2006/relationships/hyperlink" Target="https://www.gov.uk/guidance/pay-apprenticeship-lev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nhspayscales.co.uk/nhs-pay-scales-2024-25-predict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E0FD5-6301-7C49-8C57-17AB0EAC56AA}">
  <dimension ref="A1:V60"/>
  <sheetViews>
    <sheetView showGridLines="0" topLeftCell="A3" workbookViewId="0">
      <selection activeCell="I10" sqref="I10"/>
    </sheetView>
  </sheetViews>
  <sheetFormatPr baseColWidth="10" defaultRowHeight="16" x14ac:dyDescent="0.2"/>
  <cols>
    <col min="1" max="2" width="2.5" customWidth="1"/>
    <col min="5" max="5" width="16.6640625" bestFit="1" customWidth="1"/>
    <col min="6" max="7" width="11.5" bestFit="1" customWidth="1"/>
    <col min="8" max="8" width="12.5" bestFit="1" customWidth="1"/>
    <col min="9" max="9" width="11.5" customWidth="1"/>
    <col min="10" max="17" width="11.5" bestFit="1" customWidth="1"/>
    <col min="18" max="18" width="11.1640625" bestFit="1" customWidth="1"/>
    <col min="19" max="19" width="11.5" bestFit="1" customWidth="1"/>
    <col min="20" max="21" width="12.5" bestFit="1" customWidth="1"/>
  </cols>
  <sheetData>
    <row r="1" spans="1:21" ht="22" x14ac:dyDescent="0.3">
      <c r="A1" s="35" t="s">
        <v>86</v>
      </c>
    </row>
    <row r="3" spans="1:21" ht="22" x14ac:dyDescent="0.3">
      <c r="A3" s="35" t="s">
        <v>45</v>
      </c>
    </row>
    <row r="5" spans="1:21" x14ac:dyDescent="0.2">
      <c r="G5" s="50"/>
      <c r="H5" s="51" t="s">
        <v>88</v>
      </c>
    </row>
    <row r="6" spans="1:21" x14ac:dyDescent="0.2">
      <c r="C6" t="s">
        <v>46</v>
      </c>
      <c r="E6" s="36">
        <v>3000000000</v>
      </c>
      <c r="G6" s="52" t="s">
        <v>87</v>
      </c>
      <c r="H6" s="53">
        <f>U60</f>
        <v>161856445.7826578</v>
      </c>
      <c r="I6" s="7"/>
    </row>
    <row r="8" spans="1:21" x14ac:dyDescent="0.2">
      <c r="C8" t="s">
        <v>47</v>
      </c>
      <c r="E8" s="37">
        <v>0.5</v>
      </c>
    </row>
    <row r="9" spans="1:21" x14ac:dyDescent="0.2">
      <c r="E9" s="38"/>
    </row>
    <row r="10" spans="1:21" x14ac:dyDescent="0.2">
      <c r="C10" t="s">
        <v>61</v>
      </c>
      <c r="E10" s="37">
        <v>0.2</v>
      </c>
    </row>
    <row r="11" spans="1:21" x14ac:dyDescent="0.2">
      <c r="E11" s="38"/>
    </row>
    <row r="12" spans="1:21" x14ac:dyDescent="0.2">
      <c r="E12" s="38"/>
    </row>
    <row r="13" spans="1:21" x14ac:dyDescent="0.2">
      <c r="C13" s="42" t="s">
        <v>59</v>
      </c>
    </row>
    <row r="14" spans="1:21" x14ac:dyDescent="0.2">
      <c r="C14" s="26" t="s">
        <v>21</v>
      </c>
      <c r="D14" s="37">
        <v>0.75</v>
      </c>
      <c r="E14" s="7">
        <f>(D14*$E$6*$E$8)/(1+$E$10)</f>
        <v>937500000</v>
      </c>
      <c r="F14" s="55" t="s">
        <v>51</v>
      </c>
      <c r="G14" s="56"/>
      <c r="H14" s="56"/>
      <c r="I14" s="55" t="s">
        <v>52</v>
      </c>
      <c r="J14" s="56"/>
      <c r="K14" s="57"/>
      <c r="L14" s="55" t="s">
        <v>53</v>
      </c>
      <c r="M14" s="56"/>
      <c r="N14" s="57"/>
      <c r="O14" s="55" t="s">
        <v>30</v>
      </c>
      <c r="P14" s="56"/>
      <c r="Q14" s="57"/>
      <c r="R14" s="55" t="s">
        <v>58</v>
      </c>
      <c r="S14" s="56"/>
      <c r="T14" s="57"/>
    </row>
    <row r="15" spans="1:21" x14ac:dyDescent="0.2">
      <c r="C15" s="26"/>
      <c r="D15" s="38"/>
      <c r="F15" s="44" t="s">
        <v>55</v>
      </c>
      <c r="G15" s="45" t="s">
        <v>56</v>
      </c>
      <c r="H15" s="45" t="s">
        <v>3</v>
      </c>
      <c r="I15" s="44" t="s">
        <v>55</v>
      </c>
      <c r="J15" s="45" t="s">
        <v>56</v>
      </c>
      <c r="K15" s="46" t="s">
        <v>3</v>
      </c>
      <c r="L15" s="44" t="s">
        <v>55</v>
      </c>
      <c r="M15" s="45" t="s">
        <v>56</v>
      </c>
      <c r="N15" s="46" t="s">
        <v>3</v>
      </c>
      <c r="O15" s="44" t="s">
        <v>55</v>
      </c>
      <c r="P15" s="45" t="s">
        <v>56</v>
      </c>
      <c r="Q15" s="46" t="s">
        <v>3</v>
      </c>
      <c r="R15" s="44" t="s">
        <v>55</v>
      </c>
      <c r="S15" s="45" t="s">
        <v>56</v>
      </c>
      <c r="T15" s="46" t="s">
        <v>3</v>
      </c>
    </row>
    <row r="16" spans="1:21" x14ac:dyDescent="0.2">
      <c r="C16" t="s">
        <v>48</v>
      </c>
      <c r="F16" s="39">
        <v>0.02</v>
      </c>
      <c r="G16" s="39">
        <v>0.03</v>
      </c>
      <c r="H16" s="39">
        <v>0.04</v>
      </c>
      <c r="I16" s="39">
        <v>0.02</v>
      </c>
      <c r="J16" s="39">
        <v>0.03</v>
      </c>
      <c r="K16" s="39">
        <v>0.04</v>
      </c>
      <c r="L16" s="39">
        <v>0.02</v>
      </c>
      <c r="M16" s="39">
        <v>0.03</v>
      </c>
      <c r="N16" s="39">
        <v>0.04</v>
      </c>
      <c r="O16" s="39">
        <v>0.02</v>
      </c>
      <c r="P16" s="39">
        <v>0.03</v>
      </c>
      <c r="Q16" s="39">
        <v>0.04</v>
      </c>
      <c r="R16" s="40">
        <f>SUM(F16,I16,L16,O16)</f>
        <v>0.08</v>
      </c>
      <c r="S16" s="40">
        <f t="shared" ref="S16:T16" si="0">SUM(G16,J16,M16,P16)</f>
        <v>0.12</v>
      </c>
      <c r="T16" s="40">
        <f t="shared" si="0"/>
        <v>0.16</v>
      </c>
      <c r="U16" s="8">
        <f>SUM(R16:T16)</f>
        <v>0.36</v>
      </c>
    </row>
    <row r="17" spans="3:22" x14ac:dyDescent="0.2">
      <c r="C17" t="s">
        <v>49</v>
      </c>
      <c r="F17" s="39">
        <v>0.02</v>
      </c>
      <c r="G17" s="39">
        <v>0.04</v>
      </c>
      <c r="H17" s="39">
        <v>7.0000000000000007E-2</v>
      </c>
      <c r="I17" s="39">
        <v>0.02</v>
      </c>
      <c r="J17" s="39">
        <v>0.04</v>
      </c>
      <c r="K17" s="39">
        <v>7.0000000000000007E-2</v>
      </c>
      <c r="L17" s="39">
        <v>0.02</v>
      </c>
      <c r="M17" s="39">
        <v>0.04</v>
      </c>
      <c r="N17" s="39">
        <v>7.0000000000000007E-2</v>
      </c>
      <c r="O17" s="39">
        <v>0.02</v>
      </c>
      <c r="P17" s="39">
        <v>0.04</v>
      </c>
      <c r="Q17" s="39">
        <v>7.0000000000000007E-2</v>
      </c>
      <c r="R17" s="40">
        <f>SUM(F17,I17,L17,O17)</f>
        <v>0.08</v>
      </c>
      <c r="S17" s="40">
        <f t="shared" ref="S17:S18" si="1">SUM(G17,J17,M17,P17)</f>
        <v>0.16</v>
      </c>
      <c r="T17" s="40">
        <f t="shared" ref="T17:T18" si="2">SUM(H17,K17,N17,Q17)</f>
        <v>0.28000000000000003</v>
      </c>
      <c r="U17" s="8">
        <f>SUM(R17:T17)</f>
        <v>0.52</v>
      </c>
    </row>
    <row r="18" spans="3:22" x14ac:dyDescent="0.2">
      <c r="C18" t="s">
        <v>50</v>
      </c>
      <c r="F18" s="39">
        <v>5.0000000000000001E-3</v>
      </c>
      <c r="G18" s="39">
        <v>0.01</v>
      </c>
      <c r="H18" s="39">
        <v>1.4999999999999999E-2</v>
      </c>
      <c r="I18" s="39">
        <v>5.0000000000000001E-3</v>
      </c>
      <c r="J18" s="39">
        <v>0.01</v>
      </c>
      <c r="K18" s="39">
        <v>1.4999999999999999E-2</v>
      </c>
      <c r="L18" s="39">
        <v>5.0000000000000001E-3</v>
      </c>
      <c r="M18" s="39">
        <v>0.01</v>
      </c>
      <c r="N18" s="39">
        <v>1.4999999999999999E-2</v>
      </c>
      <c r="O18" s="39">
        <v>5.0000000000000001E-3</v>
      </c>
      <c r="P18" s="39">
        <v>0.01</v>
      </c>
      <c r="Q18" s="39">
        <v>1.4999999999999999E-2</v>
      </c>
      <c r="R18" s="40">
        <f>SUM(F18,I18,L18,O18)</f>
        <v>0.02</v>
      </c>
      <c r="S18" s="40">
        <f t="shared" si="1"/>
        <v>0.04</v>
      </c>
      <c r="T18" s="40">
        <f t="shared" si="2"/>
        <v>0.06</v>
      </c>
      <c r="U18" s="8">
        <f>SUM(R18:T18)</f>
        <v>0.12</v>
      </c>
    </row>
    <row r="19" spans="3:22" x14ac:dyDescent="0.2">
      <c r="U19" s="41">
        <f>SUM(U16:U18)</f>
        <v>1</v>
      </c>
      <c r="V19" s="47" t="str">
        <f>IF(U19=1,"","ERROR")</f>
        <v/>
      </c>
    </row>
    <row r="21" spans="3:22" x14ac:dyDescent="0.2">
      <c r="C21" s="26" t="s">
        <v>54</v>
      </c>
      <c r="D21" s="38">
        <f>1-D14</f>
        <v>0.25</v>
      </c>
      <c r="E21" s="7">
        <f>(D21*$E$6*$E$8)/(1+$E$10)</f>
        <v>312500000</v>
      </c>
      <c r="F21" s="55" t="s">
        <v>51</v>
      </c>
      <c r="G21" s="56"/>
      <c r="H21" s="57"/>
      <c r="I21" s="55" t="s">
        <v>52</v>
      </c>
      <c r="J21" s="56"/>
      <c r="K21" s="57"/>
      <c r="L21" s="55" t="s">
        <v>53</v>
      </c>
      <c r="M21" s="56"/>
      <c r="N21" s="57"/>
      <c r="O21" s="55" t="s">
        <v>30</v>
      </c>
      <c r="P21" s="56"/>
      <c r="Q21" s="57"/>
      <c r="R21" s="55" t="s">
        <v>58</v>
      </c>
      <c r="S21" s="56"/>
      <c r="T21" s="57"/>
    </row>
    <row r="22" spans="3:22" x14ac:dyDescent="0.2">
      <c r="F22" s="44" t="s">
        <v>55</v>
      </c>
      <c r="G22" s="45" t="s">
        <v>56</v>
      </c>
      <c r="H22" s="46" t="s">
        <v>57</v>
      </c>
      <c r="I22" s="44" t="s">
        <v>55</v>
      </c>
      <c r="J22" s="45" t="s">
        <v>56</v>
      </c>
      <c r="K22" s="46" t="s">
        <v>57</v>
      </c>
      <c r="L22" s="44" t="s">
        <v>55</v>
      </c>
      <c r="M22" s="45" t="s">
        <v>56</v>
      </c>
      <c r="N22" s="46" t="s">
        <v>57</v>
      </c>
      <c r="O22" s="44" t="s">
        <v>55</v>
      </c>
      <c r="P22" s="45" t="s">
        <v>56</v>
      </c>
      <c r="Q22" s="46" t="s">
        <v>57</v>
      </c>
      <c r="R22" s="44" t="s">
        <v>55</v>
      </c>
      <c r="S22" s="45" t="s">
        <v>56</v>
      </c>
      <c r="T22" s="46" t="s">
        <v>57</v>
      </c>
    </row>
    <row r="23" spans="3:22" x14ac:dyDescent="0.2">
      <c r="C23" t="s">
        <v>48</v>
      </c>
      <c r="F23" s="39">
        <v>0.02</v>
      </c>
      <c r="G23" s="39">
        <v>0.03</v>
      </c>
      <c r="H23" s="39">
        <v>0.04</v>
      </c>
      <c r="I23" s="39">
        <v>0.02</v>
      </c>
      <c r="J23" s="39">
        <v>0.03</v>
      </c>
      <c r="K23" s="39">
        <v>0.04</v>
      </c>
      <c r="L23" s="39">
        <v>0.02</v>
      </c>
      <c r="M23" s="39">
        <v>0.03</v>
      </c>
      <c r="N23" s="39">
        <v>0.04</v>
      </c>
      <c r="O23" s="39">
        <v>0.02</v>
      </c>
      <c r="P23" s="39">
        <v>0.03</v>
      </c>
      <c r="Q23" s="39">
        <v>0.04</v>
      </c>
      <c r="R23" s="40">
        <f>SUM(F23,I23,L23,O23)</f>
        <v>0.08</v>
      </c>
      <c r="S23" s="40">
        <f t="shared" ref="S23:S25" si="3">SUM(G23,J23,M23,P23)</f>
        <v>0.12</v>
      </c>
      <c r="T23" s="40">
        <f t="shared" ref="T23:T25" si="4">SUM(H23,K23,N23,Q23)</f>
        <v>0.16</v>
      </c>
      <c r="U23" s="8">
        <f t="shared" ref="U23:U25" si="5">SUM(R23:T23)</f>
        <v>0.36</v>
      </c>
    </row>
    <row r="24" spans="3:22" x14ac:dyDescent="0.2">
      <c r="C24" t="s">
        <v>49</v>
      </c>
      <c r="F24" s="39">
        <v>0.02</v>
      </c>
      <c r="G24" s="39">
        <v>0.04</v>
      </c>
      <c r="H24" s="39">
        <v>7.0000000000000007E-2</v>
      </c>
      <c r="I24" s="39">
        <v>0.02</v>
      </c>
      <c r="J24" s="39">
        <v>0.04</v>
      </c>
      <c r="K24" s="39">
        <v>7.0000000000000007E-2</v>
      </c>
      <c r="L24" s="39">
        <v>0.02</v>
      </c>
      <c r="M24" s="39">
        <v>0.04</v>
      </c>
      <c r="N24" s="39">
        <v>7.0000000000000007E-2</v>
      </c>
      <c r="O24" s="39">
        <v>0.02</v>
      </c>
      <c r="P24" s="39">
        <v>0.04</v>
      </c>
      <c r="Q24" s="39">
        <v>7.0000000000000007E-2</v>
      </c>
      <c r="R24" s="40">
        <f>SUM(F24,I24,L24,O24)</f>
        <v>0.08</v>
      </c>
      <c r="S24" s="40">
        <f t="shared" si="3"/>
        <v>0.16</v>
      </c>
      <c r="T24" s="40">
        <f t="shared" si="4"/>
        <v>0.28000000000000003</v>
      </c>
      <c r="U24" s="8">
        <f t="shared" si="5"/>
        <v>0.52</v>
      </c>
    </row>
    <row r="25" spans="3:22" x14ac:dyDescent="0.2">
      <c r="C25" t="s">
        <v>50</v>
      </c>
      <c r="F25" s="39">
        <v>5.0000000000000001E-3</v>
      </c>
      <c r="G25" s="39">
        <v>0.01</v>
      </c>
      <c r="H25" s="39">
        <v>1.4999999999999999E-2</v>
      </c>
      <c r="I25" s="39">
        <v>5.0000000000000001E-3</v>
      </c>
      <c r="J25" s="39">
        <v>0.01</v>
      </c>
      <c r="K25" s="39">
        <v>1.4999999999999999E-2</v>
      </c>
      <c r="L25" s="39">
        <v>5.0000000000000001E-3</v>
      </c>
      <c r="M25" s="39">
        <v>0.01</v>
      </c>
      <c r="N25" s="39">
        <v>1.4999999999999999E-2</v>
      </c>
      <c r="O25" s="39">
        <v>5.0000000000000001E-3</v>
      </c>
      <c r="P25" s="39">
        <v>0.01</v>
      </c>
      <c r="Q25" s="39">
        <v>1.4999999999999999E-2</v>
      </c>
      <c r="R25" s="40">
        <f>SUM(F25,I25,L25,O25)</f>
        <v>0.02</v>
      </c>
      <c r="S25" s="40">
        <f t="shared" si="3"/>
        <v>0.04</v>
      </c>
      <c r="T25" s="40">
        <f t="shared" si="4"/>
        <v>0.06</v>
      </c>
      <c r="U25" s="8">
        <f t="shared" si="5"/>
        <v>0.12</v>
      </c>
    </row>
    <row r="26" spans="3:22" x14ac:dyDescent="0.2">
      <c r="U26" s="41">
        <f>SUM(U23:U25)</f>
        <v>1</v>
      </c>
      <c r="V26" s="47" t="str">
        <f>IF(U26=1,"","ERROR")</f>
        <v/>
      </c>
    </row>
    <row r="29" spans="3:22" x14ac:dyDescent="0.2">
      <c r="C29" s="42" t="s">
        <v>60</v>
      </c>
    </row>
    <row r="30" spans="3:22" x14ac:dyDescent="0.2">
      <c r="C30" s="26" t="s">
        <v>21</v>
      </c>
      <c r="D30" s="38"/>
      <c r="F30" s="55" t="s">
        <v>51</v>
      </c>
      <c r="G30" s="56"/>
      <c r="H30" s="56"/>
      <c r="I30" s="55" t="s">
        <v>52</v>
      </c>
      <c r="J30" s="56"/>
      <c r="K30" s="57"/>
      <c r="L30" s="55" t="s">
        <v>53</v>
      </c>
      <c r="M30" s="56"/>
      <c r="N30" s="57"/>
      <c r="O30" s="55" t="s">
        <v>30</v>
      </c>
      <c r="P30" s="56"/>
      <c r="Q30" s="57"/>
      <c r="R30" s="55" t="s">
        <v>58</v>
      </c>
      <c r="S30" s="56"/>
      <c r="T30" s="57"/>
    </row>
    <row r="31" spans="3:22" x14ac:dyDescent="0.2">
      <c r="C31" s="26"/>
      <c r="D31" s="38"/>
      <c r="F31" s="44" t="s">
        <v>55</v>
      </c>
      <c r="G31" s="45" t="s">
        <v>56</v>
      </c>
      <c r="H31" s="45" t="s">
        <v>3</v>
      </c>
      <c r="I31" s="44" t="s">
        <v>55</v>
      </c>
      <c r="J31" s="45" t="s">
        <v>56</v>
      </c>
      <c r="K31" s="46" t="s">
        <v>3</v>
      </c>
      <c r="L31" s="44" t="s">
        <v>55</v>
      </c>
      <c r="M31" s="45" t="s">
        <v>56</v>
      </c>
      <c r="N31" s="46" t="s">
        <v>3</v>
      </c>
      <c r="O31" s="44" t="s">
        <v>55</v>
      </c>
      <c r="P31" s="45" t="s">
        <v>56</v>
      </c>
      <c r="Q31" s="46" t="s">
        <v>3</v>
      </c>
      <c r="R31" s="44" t="s">
        <v>55</v>
      </c>
      <c r="S31" s="45" t="s">
        <v>56</v>
      </c>
      <c r="T31" s="46" t="s">
        <v>3</v>
      </c>
    </row>
    <row r="32" spans="3:22" x14ac:dyDescent="0.2">
      <c r="C32" t="s">
        <v>48</v>
      </c>
      <c r="F32" s="31">
        <f>F16*$E$14/Days!F20</f>
        <v>779301.74563591031</v>
      </c>
      <c r="G32" s="31">
        <f>G16*$E$14/Days!G20</f>
        <v>1168952.6184538654</v>
      </c>
      <c r="H32" s="31">
        <f>H16*$E$14/Days!H20</f>
        <v>1558603.4912718206</v>
      </c>
      <c r="I32" s="31">
        <f>I16*$E$14/Days!I20</f>
        <v>649463.1104953239</v>
      </c>
      <c r="J32" s="31">
        <f>J16*$E$14/Days!J20</f>
        <v>974194.66574298579</v>
      </c>
      <c r="K32" s="31">
        <f>K16*$E$14/Days!K20</f>
        <v>1298926.2209906478</v>
      </c>
      <c r="L32" s="31">
        <f>L16*$E$14/Days!L20</f>
        <v>677629.20130104804</v>
      </c>
      <c r="M32" s="31">
        <f>M16*$E$14/Days!M20</f>
        <v>1016443.8019515721</v>
      </c>
      <c r="N32" s="31">
        <f>N16*$E$14/Days!N20</f>
        <v>1355258.4026020961</v>
      </c>
      <c r="O32" s="31">
        <f>O16*$E$14/Days!O20</f>
        <v>742280.28503562941</v>
      </c>
      <c r="P32" s="31">
        <f>P16*$E$14/Days!P20</f>
        <v>1113420.4275534442</v>
      </c>
      <c r="Q32" s="31">
        <f>Q16*$E$14/Days!Q20</f>
        <v>1484560.5700712588</v>
      </c>
      <c r="R32" s="3">
        <f>SUM(F32,I32,L32,O32)</f>
        <v>2848674.3424679115</v>
      </c>
      <c r="S32" s="3">
        <f t="shared" ref="S32:S34" si="6">SUM(G32,J32,M32,P32)</f>
        <v>4273011.5137018673</v>
      </c>
      <c r="T32" s="3">
        <f t="shared" ref="T32:T34" si="7">SUM(H32,K32,N32,Q32)</f>
        <v>5697348.6849358231</v>
      </c>
      <c r="U32" s="3">
        <f t="shared" ref="U32:U34" si="8">SUM(R32:T32)</f>
        <v>12819034.541105602</v>
      </c>
    </row>
    <row r="33" spans="3:21" x14ac:dyDescent="0.2">
      <c r="C33" t="s">
        <v>49</v>
      </c>
      <c r="F33" s="31">
        <f>F17*$E$14/'Nights &amp; Weekends'!F20</f>
        <v>599232.9817833174</v>
      </c>
      <c r="G33" s="31">
        <f>G17*$E$14/'Nights &amp; Weekends'!G20</f>
        <v>1198465.9635666348</v>
      </c>
      <c r="H33" s="31">
        <f>H17*$E$14/'Nights &amp; Weekends'!H20</f>
        <v>2097315.4362416109</v>
      </c>
      <c r="I33" s="31">
        <f>I17*$E$14/'Nights &amp; Weekends'!I20</f>
        <v>519390.58171745151</v>
      </c>
      <c r="J33" s="31">
        <f>J17*$E$14/'Nights &amp; Weekends'!J20</f>
        <v>1038781.163434903</v>
      </c>
      <c r="K33" s="31">
        <f>K17*$E$14/'Nights &amp; Weekends'!K20</f>
        <v>1817867.0360110805</v>
      </c>
      <c r="L33" s="31">
        <f>L17*$E$14/'Nights &amp; Weekends'!L20</f>
        <v>537249.28366762178</v>
      </c>
      <c r="M33" s="31">
        <f>M17*$E$14/'Nights &amp; Weekends'!M20</f>
        <v>1074498.5673352436</v>
      </c>
      <c r="N33" s="31">
        <f>N17*$E$14/'Nights &amp; Weekends'!N20</f>
        <v>1880372.4928366765</v>
      </c>
      <c r="O33" s="31">
        <f>O17*$E$14/'Nights &amp; Weekends'!O20</f>
        <v>577100.64635272382</v>
      </c>
      <c r="P33" s="31">
        <f>P17*$E$14/'Nights &amp; Weekends'!P20</f>
        <v>1154201.2927054476</v>
      </c>
      <c r="Q33" s="31">
        <f>Q17*$E$14/'Nights &amp; Weekends'!Q20</f>
        <v>2019852.2622345339</v>
      </c>
      <c r="R33" s="3">
        <f>SUM(F33,I33,L33,O33)</f>
        <v>2232973.4935211143</v>
      </c>
      <c r="S33" s="3">
        <f t="shared" si="6"/>
        <v>4465946.9870422287</v>
      </c>
      <c r="T33" s="3">
        <f t="shared" si="7"/>
        <v>7815407.2273239018</v>
      </c>
      <c r="U33" s="3">
        <f t="shared" si="8"/>
        <v>14514327.707887243</v>
      </c>
    </row>
    <row r="34" spans="3:21" x14ac:dyDescent="0.2">
      <c r="C34" t="s">
        <v>50</v>
      </c>
      <c r="F34" s="31">
        <f>F18*$E$14/'Bank Hol'!F20</f>
        <v>121721.63074526098</v>
      </c>
      <c r="G34" s="31">
        <f>G18*$E$14/'Bank Hol'!G20</f>
        <v>243443.26149052195</v>
      </c>
      <c r="H34" s="31">
        <f>H18*$E$14/'Bank Hol'!H20</f>
        <v>365164.89223578293</v>
      </c>
      <c r="I34" s="31">
        <f>I18*$E$14/'Bank Hol'!I20</f>
        <v>108206.37119113574</v>
      </c>
      <c r="J34" s="31">
        <f>J18*$E$14/'Bank Hol'!J20</f>
        <v>216412.74238227148</v>
      </c>
      <c r="K34" s="31">
        <f>K18*$E$14/'Bank Hol'!K20</f>
        <v>324619.11357340717</v>
      </c>
      <c r="L34" s="31">
        <f>L18*$E$14/'Bank Hol'!L20</f>
        <v>111315.60199477558</v>
      </c>
      <c r="M34" s="31">
        <f>M18*$E$14/'Bank Hol'!M20</f>
        <v>222631.20398955117</v>
      </c>
      <c r="N34" s="31">
        <f>N18*$E$14/'Bank Hol'!N20</f>
        <v>333946.80598432675</v>
      </c>
      <c r="O34" s="31">
        <f>O18*$E$14/'Bank Hol'!O20</f>
        <v>118043.31402669352</v>
      </c>
      <c r="P34" s="31">
        <f>P18*$E$14/'Bank Hol'!P20</f>
        <v>236086.62805338704</v>
      </c>
      <c r="Q34" s="31">
        <f>Q18*$E$14/'Bank Hol'!Q20</f>
        <v>354129.94208008057</v>
      </c>
      <c r="R34" s="3">
        <f>SUM(F34,I34,L34,O34)</f>
        <v>459286.91795786581</v>
      </c>
      <c r="S34" s="3">
        <f t="shared" si="6"/>
        <v>918573.83591573162</v>
      </c>
      <c r="T34" s="3">
        <f t="shared" si="7"/>
        <v>1377860.7538735974</v>
      </c>
      <c r="U34" s="3">
        <f t="shared" si="8"/>
        <v>2755721.5077471947</v>
      </c>
    </row>
    <row r="35" spans="3:21" x14ac:dyDescent="0.2">
      <c r="R35" s="3"/>
      <c r="S35" s="3"/>
      <c r="T35" s="3"/>
      <c r="U35" s="43">
        <f>SUM(U32:U34)</f>
        <v>30089083.756740041</v>
      </c>
    </row>
    <row r="37" spans="3:21" x14ac:dyDescent="0.2">
      <c r="C37" s="26" t="s">
        <v>54</v>
      </c>
      <c r="D37" s="38"/>
      <c r="F37" s="55" t="s">
        <v>51</v>
      </c>
      <c r="G37" s="56"/>
      <c r="H37" s="57"/>
      <c r="I37" s="55" t="s">
        <v>52</v>
      </c>
      <c r="J37" s="56"/>
      <c r="K37" s="57"/>
      <c r="L37" s="55" t="s">
        <v>53</v>
      </c>
      <c r="M37" s="56"/>
      <c r="N37" s="57"/>
      <c r="O37" s="55" t="s">
        <v>30</v>
      </c>
      <c r="P37" s="56"/>
      <c r="Q37" s="57"/>
      <c r="R37" s="55" t="s">
        <v>58</v>
      </c>
      <c r="S37" s="56"/>
      <c r="T37" s="57"/>
    </row>
    <row r="38" spans="3:21" x14ac:dyDescent="0.2">
      <c r="F38" s="44" t="s">
        <v>55</v>
      </c>
      <c r="G38" s="45" t="s">
        <v>56</v>
      </c>
      <c r="H38" s="46" t="s">
        <v>57</v>
      </c>
      <c r="I38" s="44" t="s">
        <v>55</v>
      </c>
      <c r="J38" s="45" t="s">
        <v>56</v>
      </c>
      <c r="K38" s="46" t="s">
        <v>57</v>
      </c>
      <c r="L38" s="44" t="s">
        <v>55</v>
      </c>
      <c r="M38" s="45" t="s">
        <v>56</v>
      </c>
      <c r="N38" s="46" t="s">
        <v>57</v>
      </c>
      <c r="O38" s="44" t="s">
        <v>55</v>
      </c>
      <c r="P38" s="45" t="s">
        <v>56</v>
      </c>
      <c r="Q38" s="46" t="s">
        <v>57</v>
      </c>
      <c r="R38" s="44" t="s">
        <v>55</v>
      </c>
      <c r="S38" s="45" t="s">
        <v>56</v>
      </c>
      <c r="T38" s="46" t="s">
        <v>57</v>
      </c>
    </row>
    <row r="39" spans="3:21" x14ac:dyDescent="0.2">
      <c r="C39" t="s">
        <v>48</v>
      </c>
      <c r="F39" s="31">
        <f>F23*$E$21/Days!F39</f>
        <v>209872.39758226997</v>
      </c>
      <c r="G39" s="31">
        <f>G23*$E$21/Days!G39</f>
        <v>314808.59637340496</v>
      </c>
      <c r="H39" s="31">
        <f>H23*$E$21/Days!H39</f>
        <v>419744.79516453994</v>
      </c>
      <c r="I39" s="31">
        <f>I23*$E$21/Days!I39</f>
        <v>177961.27562642371</v>
      </c>
      <c r="J39" s="31">
        <f>J23*$E$21/Days!J39</f>
        <v>266941.91343963554</v>
      </c>
      <c r="K39" s="31">
        <f>K23*$E$21/Days!K39</f>
        <v>355922.55125284742</v>
      </c>
      <c r="L39" s="31">
        <f>L23*$E$21/Days!L39</f>
        <v>186455.84725536991</v>
      </c>
      <c r="M39" s="31">
        <f>M23*$E$21/Days!M39</f>
        <v>279683.77088305488</v>
      </c>
      <c r="N39" s="31">
        <f>N23*$E$21/Days!N39</f>
        <v>372911.69451073982</v>
      </c>
      <c r="O39" s="31">
        <f>O23*$E$21/Days!O39</f>
        <v>200513.31408405516</v>
      </c>
      <c r="P39" s="31">
        <f>P23*$E$21/Days!P39</f>
        <v>300769.97112608276</v>
      </c>
      <c r="Q39" s="31">
        <f>Q23*$E$21/Days!Q39</f>
        <v>401026.62816811033</v>
      </c>
      <c r="R39" s="3">
        <f>SUM(F39,I39,L39,O39)</f>
        <v>774802.83454811876</v>
      </c>
      <c r="S39" s="3">
        <f t="shared" ref="S39:S41" si="9">SUM(G39,J39,M39,P39)</f>
        <v>1162204.2518221783</v>
      </c>
      <c r="T39" s="3">
        <f t="shared" ref="T39:T41" si="10">SUM(H39,K39,N39,Q39)</f>
        <v>1549605.6690962375</v>
      </c>
      <c r="U39" s="3">
        <f t="shared" ref="U39:U41" si="11">SUM(R39:T39)</f>
        <v>3486612.7554665348</v>
      </c>
    </row>
    <row r="40" spans="3:21" x14ac:dyDescent="0.2">
      <c r="C40" t="s">
        <v>49</v>
      </c>
      <c r="F40" s="31">
        <f>F24*$E$21/'Nights &amp; Weekends'!F39</f>
        <v>161456.9878584345</v>
      </c>
      <c r="G40" s="31">
        <f>G24*$E$21/'Nights &amp; Weekends'!G39</f>
        <v>322913.975716869</v>
      </c>
      <c r="H40" s="31">
        <f>H24*$E$21/'Nights &amp; Weekends'!H39</f>
        <v>565099.45750452089</v>
      </c>
      <c r="I40" s="31">
        <f>I24*$E$21/'Nights &amp; Weekends'!I39</f>
        <v>141884.22247446084</v>
      </c>
      <c r="J40" s="31">
        <f>J24*$E$21/'Nights &amp; Weekends'!J39</f>
        <v>283768.44494892168</v>
      </c>
      <c r="K40" s="31">
        <f>K24*$E$21/'Nights &amp; Weekends'!K39</f>
        <v>496594.77866061305</v>
      </c>
      <c r="L40" s="31">
        <f>L24*$E$21/'Nights &amp; Weekends'!L39</f>
        <v>147232.03769140164</v>
      </c>
      <c r="M40" s="31">
        <f>M24*$E$21/'Nights &amp; Weekends'!M39</f>
        <v>294464.07538280328</v>
      </c>
      <c r="N40" s="31">
        <f>N24*$E$21/'Nights &amp; Weekends'!N39</f>
        <v>515312.13191990583</v>
      </c>
      <c r="O40" s="31">
        <f>O24*$E$21/'Nights &amp; Weekends'!O39</f>
        <v>155821.49090002495</v>
      </c>
      <c r="P40" s="31">
        <f>P24*$E$21/'Nights &amp; Weekends'!P39</f>
        <v>311642.98180004989</v>
      </c>
      <c r="Q40" s="31">
        <f>Q24*$E$21/'Nights &amp; Weekends'!Q39</f>
        <v>545375.2181500874</v>
      </c>
      <c r="R40" s="3">
        <f>SUM(F40,I40,L40,O40)</f>
        <v>606394.73892432195</v>
      </c>
      <c r="S40" s="3">
        <f t="shared" si="9"/>
        <v>1212789.4778486439</v>
      </c>
      <c r="T40" s="3">
        <f t="shared" si="10"/>
        <v>2122381.5862351274</v>
      </c>
      <c r="U40" s="3">
        <f t="shared" si="11"/>
        <v>3941565.8030080935</v>
      </c>
    </row>
    <row r="41" spans="3:21" x14ac:dyDescent="0.2">
      <c r="C41" t="s">
        <v>50</v>
      </c>
      <c r="F41" s="31">
        <f>F25*$E$21/'Bank Hol'!F39</f>
        <v>32791.185729275974</v>
      </c>
      <c r="G41" s="31">
        <f>G25*$E$21/'Bank Hol'!G39</f>
        <v>65582.371458551948</v>
      </c>
      <c r="H41" s="31">
        <f>H25*$E$21/'Bank Hol'!H39</f>
        <v>98373.557187827915</v>
      </c>
      <c r="I41" s="31">
        <f>I25*$E$21/'Bank Hol'!I39</f>
        <v>29492.261230653079</v>
      </c>
      <c r="J41" s="31">
        <f>J25*$E$21/'Bank Hol'!J39</f>
        <v>58984.522461306158</v>
      </c>
      <c r="K41" s="31">
        <f>K25*$E$21/'Bank Hol'!K39</f>
        <v>88476.783691959237</v>
      </c>
      <c r="L41" s="31">
        <f>L25*$E$21/'Bank Hol'!L39</f>
        <v>30410.66562864928</v>
      </c>
      <c r="M41" s="31">
        <f>M25*$E$21/'Bank Hol'!M39</f>
        <v>60821.33125729856</v>
      </c>
      <c r="N41" s="31">
        <f>N25*$E$21/'Bank Hol'!N39</f>
        <v>91231.996885947839</v>
      </c>
      <c r="O41" s="31">
        <f>O25*$E$21/'Bank Hol'!O39</f>
        <v>31861.745513866234</v>
      </c>
      <c r="P41" s="31">
        <f>P25*$E$21/'Bank Hol'!P39</f>
        <v>63723.491027732467</v>
      </c>
      <c r="Q41" s="31">
        <f>Q25*$E$21/'Bank Hol'!Q39</f>
        <v>95585.236541598701</v>
      </c>
      <c r="R41" s="3">
        <f>SUM(F41,I41,L41,O41)</f>
        <v>124555.85810244457</v>
      </c>
      <c r="S41" s="3">
        <f t="shared" si="9"/>
        <v>249111.71620488915</v>
      </c>
      <c r="T41" s="3">
        <f t="shared" si="10"/>
        <v>373667.57430733368</v>
      </c>
      <c r="U41" s="3">
        <f t="shared" si="11"/>
        <v>747335.14861466736</v>
      </c>
    </row>
    <row r="42" spans="3:21" x14ac:dyDescent="0.2">
      <c r="R42" s="3"/>
      <c r="S42" s="3"/>
      <c r="T42" s="3"/>
      <c r="U42" s="43">
        <f>SUM(U39:U41)</f>
        <v>8175513.7070892956</v>
      </c>
    </row>
    <row r="45" spans="3:21" x14ac:dyDescent="0.2">
      <c r="C45" s="42" t="s">
        <v>62</v>
      </c>
    </row>
    <row r="46" spans="3:21" x14ac:dyDescent="0.2">
      <c r="C46" s="26" t="s">
        <v>21</v>
      </c>
      <c r="D46" s="38"/>
      <c r="F46" s="55" t="s">
        <v>51</v>
      </c>
      <c r="G46" s="56"/>
      <c r="H46" s="56"/>
      <c r="I46" s="55" t="s">
        <v>52</v>
      </c>
      <c r="J46" s="56"/>
      <c r="K46" s="57"/>
      <c r="L46" s="55" t="s">
        <v>53</v>
      </c>
      <c r="M46" s="56"/>
      <c r="N46" s="57"/>
      <c r="O46" s="55" t="s">
        <v>30</v>
      </c>
      <c r="P46" s="56"/>
      <c r="Q46" s="57"/>
      <c r="R46" s="55" t="s">
        <v>58</v>
      </c>
      <c r="S46" s="56"/>
      <c r="T46" s="57"/>
    </row>
    <row r="47" spans="3:21" x14ac:dyDescent="0.2">
      <c r="C47" s="26"/>
      <c r="D47" s="38"/>
      <c r="F47" s="44" t="s">
        <v>55</v>
      </c>
      <c r="G47" s="45" t="s">
        <v>56</v>
      </c>
      <c r="H47" s="45" t="s">
        <v>3</v>
      </c>
      <c r="I47" s="44" t="s">
        <v>55</v>
      </c>
      <c r="J47" s="45" t="s">
        <v>56</v>
      </c>
      <c r="K47" s="46" t="s">
        <v>3</v>
      </c>
      <c r="L47" s="44" t="s">
        <v>55</v>
      </c>
      <c r="M47" s="45" t="s">
        <v>56</v>
      </c>
      <c r="N47" s="46" t="s">
        <v>3</v>
      </c>
      <c r="O47" s="44" t="s">
        <v>55</v>
      </c>
      <c r="P47" s="45" t="s">
        <v>56</v>
      </c>
      <c r="Q47" s="46" t="s">
        <v>3</v>
      </c>
      <c r="R47" s="44" t="s">
        <v>55</v>
      </c>
      <c r="S47" s="45" t="s">
        <v>56</v>
      </c>
      <c r="T47" s="46" t="s">
        <v>3</v>
      </c>
    </row>
    <row r="48" spans="3:21" x14ac:dyDescent="0.2">
      <c r="C48" t="s">
        <v>48</v>
      </c>
      <c r="F48" s="31">
        <f>F32*Days!F22</f>
        <v>-412416.92025442753</v>
      </c>
      <c r="G48" s="31">
        <f>G32*Days!G22</f>
        <v>1583357.9597262354</v>
      </c>
      <c r="H48" s="31">
        <f>H32*Days!H22</f>
        <v>7296167.9867878053</v>
      </c>
      <c r="I48" s="31">
        <f>I32*Days!I22</f>
        <v>-352734.95496293082</v>
      </c>
      <c r="J48" s="31">
        <f>J32*Days!J22</f>
        <v>1671474.9698252352</v>
      </c>
      <c r="K48" s="31">
        <f>K32*Days!K22</f>
        <v>7414224.3293268131</v>
      </c>
      <c r="L48" s="31">
        <f>L32*Days!L22</f>
        <v>-337559.72291433276</v>
      </c>
      <c r="M48" s="31">
        <f>M32*Days!M22</f>
        <v>1649830.921066249</v>
      </c>
      <c r="N48" s="31">
        <f>N32*Days!N22</f>
        <v>7383689.7735902527</v>
      </c>
      <c r="O48" s="31">
        <f>O32*Days!O22</f>
        <v>-392955.46579886152</v>
      </c>
      <c r="P48" s="31">
        <f>P32*Days!P22</f>
        <v>1611253.0999194239</v>
      </c>
      <c r="Q48" s="31">
        <f>Q32*Days!Q22</f>
        <v>7334036.6793279424</v>
      </c>
      <c r="R48" s="3">
        <f>SUM(F48,I48,L48,O48)</f>
        <v>-1495667.0639305527</v>
      </c>
      <c r="S48" s="3">
        <f t="shared" ref="S48:S50" si="12">SUM(G48,J48,M48,P48)</f>
        <v>6515916.9505371433</v>
      </c>
      <c r="T48" s="3">
        <f t="shared" ref="T48:T50" si="13">SUM(H48,K48,N48,Q48)</f>
        <v>29428118.769032814</v>
      </c>
      <c r="U48" s="3">
        <f t="shared" ref="U48:U50" si="14">SUM(R48:T48)</f>
        <v>34448368.655639403</v>
      </c>
    </row>
    <row r="49" spans="3:21" x14ac:dyDescent="0.2">
      <c r="C49" t="s">
        <v>49</v>
      </c>
      <c r="F49" s="31">
        <f>F33*'Nights &amp; Weekends'!F22</f>
        <v>-419449.55039047636</v>
      </c>
      <c r="G49" s="31">
        <f>G33*'Nights &amp; Weekends'!G22</f>
        <v>2095952.7118064223</v>
      </c>
      <c r="H49" s="31">
        <f>H33*'Nights &amp; Weekends'!H22</f>
        <v>12738229.434605645</v>
      </c>
      <c r="I49" s="31">
        <f>I33*'Nights &amp; Weekends'!I22</f>
        <v>376530.59294421854</v>
      </c>
      <c r="J49" s="31">
        <f>J33*'Nights &amp; Weekends'!J22</f>
        <v>3803471.9147741804</v>
      </c>
      <c r="K49" s="31">
        <f>K33*'Nights &amp; Weekends'!K22</f>
        <v>16090583.608917955</v>
      </c>
      <c r="L49" s="31">
        <f>L33*'Nights &amp; Weekends'!L22</f>
        <v>227475.33544551782</v>
      </c>
      <c r="M49" s="31">
        <f>M33*'Nights &amp; Weekends'!M22</f>
        <v>3418068.502833778</v>
      </c>
      <c r="N49" s="31">
        <f>N33*'Nights &amp; Weekends'!N22</f>
        <v>15331865.572497904</v>
      </c>
      <c r="O49" s="31">
        <f>O33*'Nights &amp; Weekends'!O22</f>
        <v>-196333.3821453678</v>
      </c>
      <c r="P49" s="31">
        <f>P33*'Nights &amp; Weekends'!P22</f>
        <v>2573010.333237058</v>
      </c>
      <c r="Q49" s="31">
        <f>Q33*'Nights &amp; Weekends'!Q22</f>
        <v>13674943.63904584</v>
      </c>
      <c r="R49" s="3">
        <f>SUM(F49,I49,L49,O49)</f>
        <v>-11777.004146107793</v>
      </c>
      <c r="S49" s="3">
        <f t="shared" si="12"/>
        <v>11890503.462651437</v>
      </c>
      <c r="T49" s="3">
        <f t="shared" si="13"/>
        <v>57835622.255067348</v>
      </c>
      <c r="U49" s="3">
        <f t="shared" si="14"/>
        <v>69714348.713572681</v>
      </c>
    </row>
    <row r="50" spans="3:21" x14ac:dyDescent="0.2">
      <c r="C50" t="s">
        <v>50</v>
      </c>
      <c r="F50" s="31">
        <f>F34*'Bank Hol'!F22</f>
        <v>-104770.85018251356</v>
      </c>
      <c r="G50" s="31">
        <f>G34*'Bank Hol'!G22</f>
        <v>524185.90857457934</v>
      </c>
      <c r="H50" s="31">
        <f>H34*'Bank Hol'!H22</f>
        <v>2729956.0129127176</v>
      </c>
      <c r="I50" s="31">
        <f>I34*'Bank Hol'!I22</f>
        <v>216738.61357544063</v>
      </c>
      <c r="J50" s="31">
        <f>J34*'Bank Hol'!J22</f>
        <v>1215633.8243010726</v>
      </c>
      <c r="K50" s="31">
        <f>K34*'Bank Hol'!K22</f>
        <v>3896968.9250369132</v>
      </c>
      <c r="L50" s="31">
        <f>L34*'Bank Hol'!L22</f>
        <v>151941.67624754645</v>
      </c>
      <c r="M50" s="31">
        <f>M34*'Bank Hol'!M22</f>
        <v>1059507.3580103312</v>
      </c>
      <c r="N50" s="31">
        <f>N34*'Bank Hol'!N22</f>
        <v>3633035.9207111243</v>
      </c>
      <c r="O50" s="31">
        <f>O34*'Bank Hol'!O22</f>
        <v>-16646.865435197244</v>
      </c>
      <c r="P50" s="31">
        <f>P34*'Bank Hol'!P22</f>
        <v>713310.29368205764</v>
      </c>
      <c r="Q50" s="31">
        <f>Q34*'Bank Hol'!Q22</f>
        <v>3049176.1498840177</v>
      </c>
      <c r="R50" s="3">
        <f>SUM(F50,I50,L50,O50)</f>
        <v>247262.57420527627</v>
      </c>
      <c r="S50" s="3">
        <f t="shared" si="12"/>
        <v>3512637.3845680403</v>
      </c>
      <c r="T50" s="3">
        <f t="shared" si="13"/>
        <v>13309137.008544773</v>
      </c>
      <c r="U50" s="3">
        <f t="shared" si="14"/>
        <v>17069036.967318088</v>
      </c>
    </row>
    <row r="51" spans="3:21" x14ac:dyDescent="0.2">
      <c r="R51" s="3"/>
      <c r="S51" s="3"/>
      <c r="T51" s="3"/>
      <c r="U51" s="43">
        <f>SUM(U48:U50)</f>
        <v>121231754.33653018</v>
      </c>
    </row>
    <row r="53" spans="3:21" x14ac:dyDescent="0.2">
      <c r="C53" s="26" t="s">
        <v>54</v>
      </c>
      <c r="D53" s="38"/>
      <c r="F53" s="55" t="s">
        <v>51</v>
      </c>
      <c r="G53" s="56"/>
      <c r="H53" s="57"/>
      <c r="I53" s="55" t="s">
        <v>52</v>
      </c>
      <c r="J53" s="56"/>
      <c r="K53" s="57"/>
      <c r="L53" s="55" t="s">
        <v>53</v>
      </c>
      <c r="M53" s="56"/>
      <c r="N53" s="57"/>
      <c r="O53" s="55" t="s">
        <v>30</v>
      </c>
      <c r="P53" s="56"/>
      <c r="Q53" s="57"/>
      <c r="R53" s="55" t="s">
        <v>58</v>
      </c>
      <c r="S53" s="56"/>
      <c r="T53" s="57"/>
    </row>
    <row r="54" spans="3:21" x14ac:dyDescent="0.2">
      <c r="F54" s="44" t="s">
        <v>55</v>
      </c>
      <c r="G54" s="45" t="s">
        <v>56</v>
      </c>
      <c r="H54" s="46" t="s">
        <v>57</v>
      </c>
      <c r="I54" s="44" t="s">
        <v>55</v>
      </c>
      <c r="J54" s="45" t="s">
        <v>56</v>
      </c>
      <c r="K54" s="46" t="s">
        <v>57</v>
      </c>
      <c r="L54" s="44" t="s">
        <v>55</v>
      </c>
      <c r="M54" s="45" t="s">
        <v>56</v>
      </c>
      <c r="N54" s="46" t="s">
        <v>57</v>
      </c>
      <c r="O54" s="44" t="s">
        <v>55</v>
      </c>
      <c r="P54" s="45" t="s">
        <v>56</v>
      </c>
      <c r="Q54" s="46" t="s">
        <v>57</v>
      </c>
      <c r="R54" s="44" t="s">
        <v>55</v>
      </c>
      <c r="S54" s="45" t="s">
        <v>56</v>
      </c>
      <c r="T54" s="46" t="s">
        <v>57</v>
      </c>
    </row>
    <row r="55" spans="3:21" x14ac:dyDescent="0.2">
      <c r="C55" t="s">
        <v>48</v>
      </c>
      <c r="F55" s="31">
        <f>F39*Days!F41</f>
        <v>-74311.445953636881</v>
      </c>
      <c r="G55" s="31">
        <f>G39*Days!G41</f>
        <v>408520.26461303519</v>
      </c>
      <c r="H55" s="31">
        <f>H39*Days!H41</f>
        <v>2410772.882686445</v>
      </c>
      <c r="I55" s="31">
        <f>I39*Days!I41</f>
        <v>49445.42980810169</v>
      </c>
      <c r="J55" s="31">
        <f>J39*Days!J41</f>
        <v>603916.65328690642</v>
      </c>
      <c r="K55" s="31">
        <f>K39*Days!K41</f>
        <v>2469552.17939584</v>
      </c>
      <c r="L55" s="31">
        <f>L39*Days!L41</f>
        <v>71685.390009777519</v>
      </c>
      <c r="M55" s="31">
        <f>M39*Days!M41</f>
        <v>600146.66764795291</v>
      </c>
      <c r="N55" s="31">
        <f>N39*Days!N41</f>
        <v>2457465.6811722205</v>
      </c>
      <c r="O55" s="31">
        <f>O39*Days!O41</f>
        <v>-50589.161704773796</v>
      </c>
      <c r="P55" s="31">
        <f>P39*Days!P41</f>
        <v>446657.41655465984</v>
      </c>
      <c r="Q55" s="31">
        <f>Q39*Days!Q41</f>
        <v>2426201.537021413</v>
      </c>
      <c r="R55" s="3">
        <f>SUM(F55,I55,L55,O55)</f>
        <v>-3769.7878405314696</v>
      </c>
      <c r="S55" s="3">
        <f t="shared" ref="S55:S57" si="15">SUM(G55,J55,M55,P55)</f>
        <v>2059241.0021025543</v>
      </c>
      <c r="T55" s="3">
        <f t="shared" ref="T55:T57" si="16">SUM(H55,K55,N55,Q55)</f>
        <v>9763992.2802759185</v>
      </c>
      <c r="U55" s="3">
        <f t="shared" ref="U55:U57" si="17">SUM(R55:T55)</f>
        <v>11819463.494537942</v>
      </c>
    </row>
    <row r="56" spans="3:21" x14ac:dyDescent="0.2">
      <c r="C56" t="s">
        <v>49</v>
      </c>
      <c r="F56" s="31">
        <f>F40*'Nights &amp; Weekends'!F41</f>
        <v>-73673.296787627973</v>
      </c>
      <c r="G56" s="31">
        <f>G40*'Nights &amp; Weekends'!G41</f>
        <v>546041.62659877865</v>
      </c>
      <c r="H56" s="31">
        <f>H40*'Nights &amp; Weekends'!H41</f>
        <v>4221548.8869947158</v>
      </c>
      <c r="I56" s="31">
        <f>I40*'Nights &amp; Weekends'!I41</f>
        <v>279114.20075638365</v>
      </c>
      <c r="J56" s="31">
        <f>J40*'Nights &amp; Weekends'!J41</f>
        <v>1290311.5769191682</v>
      </c>
      <c r="K56" s="31">
        <f>K40*'Nights &amp; Weekends'!K41</f>
        <v>5276811.1243897583</v>
      </c>
      <c r="L56" s="31">
        <f>L40*'Nights &amp; Weekends'!L41</f>
        <v>239370.14263995489</v>
      </c>
      <c r="M56" s="31">
        <f>M40*'Nights &amp; Weekends'!M41</f>
        <v>1152987.5520825202</v>
      </c>
      <c r="N56" s="31">
        <f>N40*'Nights &amp; Weekends'!N41</f>
        <v>4994880.2806791821</v>
      </c>
      <c r="O56" s="31">
        <f>O40*'Nights &amp; Weekends'!O41</f>
        <v>12935.092958387055</v>
      </c>
      <c r="P56" s="31">
        <f>P40*'Nights &amp; Weekends'!P41</f>
        <v>729730.91253092012</v>
      </c>
      <c r="Q56" s="31">
        <f>Q40*'Nights &amp; Weekends'!Q41</f>
        <v>4513508.3979775216</v>
      </c>
      <c r="R56" s="3">
        <f>SUM(F56,I56,L56,O56)</f>
        <v>457746.13956709759</v>
      </c>
      <c r="S56" s="3">
        <f t="shared" si="15"/>
        <v>3719071.6681313873</v>
      </c>
      <c r="T56" s="3">
        <f t="shared" si="16"/>
        <v>19006748.690041177</v>
      </c>
      <c r="U56" s="3">
        <f t="shared" si="17"/>
        <v>23183566.497739661</v>
      </c>
    </row>
    <row r="57" spans="3:21" x14ac:dyDescent="0.2">
      <c r="C57" t="s">
        <v>50</v>
      </c>
      <c r="F57" s="31">
        <f>F41*'Bank Hol'!F41</f>
        <v>-18642.66409653128</v>
      </c>
      <c r="G57" s="31">
        <f>G41*'Bank Hol'!G41</f>
        <v>136036.5412261766</v>
      </c>
      <c r="H57" s="31">
        <f>H41*'Bank Hol'!H41</f>
        <v>903805.13888439513</v>
      </c>
      <c r="I57" s="31">
        <f>I41*'Bank Hol'!I41</f>
        <v>107839.9282360177</v>
      </c>
      <c r="J57" s="31">
        <f>J41*'Bank Hol'!J41</f>
        <v>402968.31874605449</v>
      </c>
      <c r="K57" s="31">
        <f>K41*'Bank Hol'!K41</f>
        <v>1266414.7513067033</v>
      </c>
      <c r="L57" s="31">
        <f>L41*'Bank Hol'!L41</f>
        <v>87191.664251675902</v>
      </c>
      <c r="M57" s="31">
        <f>M41*'Bank Hol'!M41</f>
        <v>345786.72686710191</v>
      </c>
      <c r="N57" s="31">
        <f>N41*'Bank Hol'!N41</f>
        <v>1167395.8695939223</v>
      </c>
      <c r="O57" s="31">
        <f>O41*'Bank Hol'!O41</f>
        <v>13647.111171796249</v>
      </c>
      <c r="P57" s="31">
        <f>P41*'Bank Hol'!P41</f>
        <v>204429.70825458161</v>
      </c>
      <c r="Q57" s="31">
        <f>Q41*'Bank Hol'!Q41</f>
        <v>1004788.3594081259</v>
      </c>
      <c r="R57" s="3">
        <f>SUM(F57,I57,L57,O57)</f>
        <v>190036.03956295855</v>
      </c>
      <c r="S57" s="3">
        <f t="shared" si="15"/>
        <v>1089221.2950939145</v>
      </c>
      <c r="T57" s="3">
        <f t="shared" si="16"/>
        <v>4342404.1191931469</v>
      </c>
      <c r="U57" s="3">
        <f t="shared" si="17"/>
        <v>5621661.4538500197</v>
      </c>
    </row>
    <row r="58" spans="3:21" x14ac:dyDescent="0.2">
      <c r="U58" s="43">
        <f>SUM(U55:U57)</f>
        <v>40624691.446127623</v>
      </c>
    </row>
    <row r="60" spans="3:21" x14ac:dyDescent="0.2">
      <c r="U60" s="49">
        <f>SUM(U51,U58)</f>
        <v>161856445.7826578</v>
      </c>
    </row>
  </sheetData>
  <mergeCells count="30">
    <mergeCell ref="F53:H53"/>
    <mergeCell ref="I53:K53"/>
    <mergeCell ref="L53:N53"/>
    <mergeCell ref="O53:Q53"/>
    <mergeCell ref="R53:T53"/>
    <mergeCell ref="F37:H37"/>
    <mergeCell ref="I37:K37"/>
    <mergeCell ref="L37:N37"/>
    <mergeCell ref="O37:Q37"/>
    <mergeCell ref="R37:T37"/>
    <mergeCell ref="F46:H46"/>
    <mergeCell ref="I46:K46"/>
    <mergeCell ref="L46:N46"/>
    <mergeCell ref="O46:Q46"/>
    <mergeCell ref="R46:T46"/>
    <mergeCell ref="R14:T14"/>
    <mergeCell ref="R21:T21"/>
    <mergeCell ref="F30:H30"/>
    <mergeCell ref="I30:K30"/>
    <mergeCell ref="L30:N30"/>
    <mergeCell ref="O30:Q30"/>
    <mergeCell ref="R30:T30"/>
    <mergeCell ref="F14:H14"/>
    <mergeCell ref="I14:K14"/>
    <mergeCell ref="L14:N14"/>
    <mergeCell ref="O14:Q14"/>
    <mergeCell ref="F21:H21"/>
    <mergeCell ref="I21:K21"/>
    <mergeCell ref="L21:N21"/>
    <mergeCell ref="O21:Q21"/>
  </mergeCells>
  <conditionalFormatting sqref="U19">
    <cfRule type="cellIs" dxfId="1" priority="2" operator="notEqual">
      <formula>1</formula>
    </cfRule>
  </conditionalFormatting>
  <conditionalFormatting sqref="U26">
    <cfRule type="cellIs" dxfId="0" priority="1" operator="not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7F04-A8C3-2849-854E-61EB9B041AF2}">
  <dimension ref="A1:Y57"/>
  <sheetViews>
    <sheetView showGridLines="0" workbookViewId="0">
      <selection activeCell="S39" sqref="S39"/>
    </sheetView>
  </sheetViews>
  <sheetFormatPr baseColWidth="10" defaultRowHeight="16" x14ac:dyDescent="0.2"/>
  <cols>
    <col min="1" max="2" width="2.5" customWidth="1"/>
    <col min="3" max="3" width="21.83203125" customWidth="1"/>
  </cols>
  <sheetData>
    <row r="1" spans="1:19" ht="22" x14ac:dyDescent="0.3">
      <c r="A1" s="34" t="s">
        <v>0</v>
      </c>
    </row>
    <row r="2" spans="1:19" x14ac:dyDescent="0.2">
      <c r="A2" s="1"/>
    </row>
    <row r="3" spans="1:19" ht="22" x14ac:dyDescent="0.3">
      <c r="A3" s="34" t="s">
        <v>42</v>
      </c>
    </row>
    <row r="4" spans="1:19" x14ac:dyDescent="0.2">
      <c r="A4" s="1"/>
    </row>
    <row r="5" spans="1:19" x14ac:dyDescent="0.2">
      <c r="A5" s="1"/>
    </row>
    <row r="6" spans="1:19" x14ac:dyDescent="0.2">
      <c r="C6" s="58" t="s">
        <v>27</v>
      </c>
      <c r="D6" s="59"/>
      <c r="E6" s="60"/>
      <c r="F6" s="64" t="s">
        <v>26</v>
      </c>
      <c r="G6" s="65"/>
      <c r="H6" s="66"/>
      <c r="I6" s="64" t="s">
        <v>28</v>
      </c>
      <c r="J6" s="65"/>
      <c r="K6" s="66"/>
      <c r="L6" s="64" t="s">
        <v>29</v>
      </c>
      <c r="M6" s="65"/>
      <c r="N6" s="66"/>
      <c r="O6" s="64" t="s">
        <v>30</v>
      </c>
      <c r="P6" s="65"/>
      <c r="Q6" s="66"/>
    </row>
    <row r="7" spans="1:19" x14ac:dyDescent="0.2">
      <c r="C7" s="61"/>
      <c r="D7" s="62"/>
      <c r="E7" s="63"/>
      <c r="F7" s="28" t="s">
        <v>1</v>
      </c>
      <c r="G7" s="29" t="s">
        <v>2</v>
      </c>
      <c r="H7" s="30" t="s">
        <v>3</v>
      </c>
      <c r="I7" s="28" t="s">
        <v>1</v>
      </c>
      <c r="J7" s="29" t="s">
        <v>2</v>
      </c>
      <c r="K7" s="30" t="s">
        <v>3</v>
      </c>
      <c r="L7" s="28" t="s">
        <v>1</v>
      </c>
      <c r="M7" s="29" t="s">
        <v>2</v>
      </c>
      <c r="N7" s="30" t="s">
        <v>3</v>
      </c>
      <c r="O7" s="28" t="s">
        <v>1</v>
      </c>
      <c r="P7" s="29" t="s">
        <v>2</v>
      </c>
      <c r="Q7" s="30" t="s">
        <v>3</v>
      </c>
    </row>
    <row r="8" spans="1:19" x14ac:dyDescent="0.2">
      <c r="C8" t="s">
        <v>38</v>
      </c>
      <c r="F8" s="31">
        <f>'Pay scales'!D7</f>
        <v>29969</v>
      </c>
      <c r="G8" s="31">
        <f>'Pay scales'!D8</f>
        <v>32324</v>
      </c>
      <c r="H8" s="31">
        <f>'Pay scales'!D9</f>
        <v>36483</v>
      </c>
      <c r="I8" s="31">
        <f>'Pay scales'!E7</f>
        <v>35965</v>
      </c>
      <c r="J8" s="31">
        <f>'Pay scales'!E8</f>
        <v>38789</v>
      </c>
      <c r="K8" s="31">
        <f>'Pay scales'!E9</f>
        <v>43780</v>
      </c>
      <c r="L8" s="31">
        <f>'Pay scales'!F7</f>
        <v>34521</v>
      </c>
      <c r="M8" s="31">
        <f>'Pay scales'!F8</f>
        <v>37173</v>
      </c>
      <c r="N8" s="31">
        <f>'Pay scales'!F9</f>
        <v>41955</v>
      </c>
      <c r="O8" s="31">
        <f>'Pay scales'!G7</f>
        <v>31469</v>
      </c>
      <c r="P8" s="31">
        <f>'Pay scales'!G8</f>
        <v>33940</v>
      </c>
      <c r="Q8" s="31">
        <f>'Pay scales'!G9</f>
        <v>38307</v>
      </c>
      <c r="S8" s="32" t="s">
        <v>4</v>
      </c>
    </row>
    <row r="10" spans="1:19" x14ac:dyDescent="0.2">
      <c r="C10" t="s">
        <v>5</v>
      </c>
      <c r="F10" s="7">
        <v>3744.73</v>
      </c>
      <c r="G10" s="31">
        <v>4097.9799999999996</v>
      </c>
      <c r="H10" s="31">
        <v>4721.83</v>
      </c>
      <c r="I10" s="31">
        <v>4644.13</v>
      </c>
      <c r="J10" s="31">
        <v>5067.7299999999996</v>
      </c>
      <c r="K10" s="31">
        <v>5816.38</v>
      </c>
      <c r="L10" s="31">
        <v>4427.53</v>
      </c>
      <c r="M10" s="31">
        <v>4825.33</v>
      </c>
      <c r="N10" s="31">
        <v>5542.63</v>
      </c>
      <c r="O10" s="31">
        <v>3969.73</v>
      </c>
      <c r="P10" s="31">
        <v>4340.38</v>
      </c>
      <c r="Q10" s="31">
        <v>4995.43</v>
      </c>
      <c r="S10" s="32" t="s">
        <v>31</v>
      </c>
    </row>
    <row r="12" spans="1:19" x14ac:dyDescent="0.2">
      <c r="C12" t="s">
        <v>6</v>
      </c>
      <c r="D12" s="8"/>
      <c r="F12" s="7">
        <f t="shared" ref="F12:Q12" si="0">$E49*F8</f>
        <v>6197.5892000000003</v>
      </c>
      <c r="G12" s="7">
        <f t="shared" si="0"/>
        <v>6684.6032000000005</v>
      </c>
      <c r="H12" s="7">
        <f t="shared" si="0"/>
        <v>7544.6844000000001</v>
      </c>
      <c r="I12" s="7">
        <f t="shared" si="0"/>
        <v>7437.5620000000008</v>
      </c>
      <c r="J12" s="7">
        <f t="shared" si="0"/>
        <v>8021.5652</v>
      </c>
      <c r="K12" s="7">
        <f t="shared" si="0"/>
        <v>9053.7039999999997</v>
      </c>
      <c r="L12" s="7">
        <f t="shared" si="0"/>
        <v>7138.9428000000007</v>
      </c>
      <c r="M12" s="7">
        <f t="shared" si="0"/>
        <v>7687.3764000000001</v>
      </c>
      <c r="N12" s="7">
        <f t="shared" si="0"/>
        <v>8676.2939999999999</v>
      </c>
      <c r="O12" s="7">
        <f t="shared" si="0"/>
        <v>6507.7892000000002</v>
      </c>
      <c r="P12" s="7">
        <f t="shared" si="0"/>
        <v>7018.7920000000004</v>
      </c>
      <c r="Q12" s="7">
        <f t="shared" si="0"/>
        <v>7921.8876</v>
      </c>
    </row>
    <row r="14" spans="1:19" x14ac:dyDescent="0.2">
      <c r="C14" t="s">
        <v>8</v>
      </c>
      <c r="D14" s="8"/>
      <c r="F14" s="7">
        <f t="shared" ref="F14:Q14" si="1">$E51*F8</f>
        <v>149.845</v>
      </c>
      <c r="G14" s="7">
        <f t="shared" si="1"/>
        <v>161.62</v>
      </c>
      <c r="H14" s="7">
        <f t="shared" si="1"/>
        <v>182.41499999999999</v>
      </c>
      <c r="I14" s="7">
        <f t="shared" si="1"/>
        <v>179.82500000000002</v>
      </c>
      <c r="J14" s="7">
        <f t="shared" si="1"/>
        <v>193.94499999999999</v>
      </c>
      <c r="K14" s="7">
        <f t="shared" si="1"/>
        <v>218.9</v>
      </c>
      <c r="L14" s="7">
        <f t="shared" si="1"/>
        <v>172.60499999999999</v>
      </c>
      <c r="M14" s="7">
        <f t="shared" si="1"/>
        <v>185.86500000000001</v>
      </c>
      <c r="N14" s="7">
        <f t="shared" si="1"/>
        <v>209.77500000000001</v>
      </c>
      <c r="O14" s="7">
        <f t="shared" si="1"/>
        <v>157.345</v>
      </c>
      <c r="P14" s="7">
        <f t="shared" si="1"/>
        <v>169.70000000000002</v>
      </c>
      <c r="Q14" s="7">
        <f t="shared" si="1"/>
        <v>191.535</v>
      </c>
    </row>
    <row r="16" spans="1:19" x14ac:dyDescent="0.2">
      <c r="C16" t="s">
        <v>10</v>
      </c>
      <c r="F16" s="9">
        <f>SUM(F8:F15)</f>
        <v>40061.164200000007</v>
      </c>
      <c r="G16" s="9">
        <f>SUM(G8:G15)</f>
        <v>43268.203199999996</v>
      </c>
      <c r="H16" s="9">
        <f>SUM(H8:H15)</f>
        <v>48931.929400000001</v>
      </c>
      <c r="I16" s="9">
        <f t="shared" ref="I16:Q16" si="2">SUM(I8:I15)</f>
        <v>48226.516999999993</v>
      </c>
      <c r="J16" s="9">
        <f t="shared" si="2"/>
        <v>52072.240199999993</v>
      </c>
      <c r="K16" s="9">
        <f t="shared" si="2"/>
        <v>58868.983999999997</v>
      </c>
      <c r="L16" s="9">
        <f t="shared" si="2"/>
        <v>46260.077800000006</v>
      </c>
      <c r="M16" s="9">
        <f t="shared" si="2"/>
        <v>49871.571400000001</v>
      </c>
      <c r="N16" s="9">
        <f t="shared" si="2"/>
        <v>56383.699000000001</v>
      </c>
      <c r="O16" s="9">
        <f t="shared" si="2"/>
        <v>42103.864200000004</v>
      </c>
      <c r="P16" s="9">
        <f t="shared" si="2"/>
        <v>45468.871999999996</v>
      </c>
      <c r="Q16" s="9">
        <f t="shared" si="2"/>
        <v>51415.852600000006</v>
      </c>
    </row>
    <row r="18" spans="3:25" x14ac:dyDescent="0.2">
      <c r="C18" t="s">
        <v>11</v>
      </c>
      <c r="F18" s="10">
        <f>F16/$E$57/$E$47</f>
        <v>23.530786607929517</v>
      </c>
      <c r="G18" s="10">
        <f t="shared" ref="G18:Q18" si="3">G16/$E$57/$E$47</f>
        <v>25.414509955947135</v>
      </c>
      <c r="H18" s="10">
        <f t="shared" si="3"/>
        <v>28.741221380323054</v>
      </c>
      <c r="I18" s="10">
        <f t="shared" si="3"/>
        <v>28.326882232011744</v>
      </c>
      <c r="J18" s="10">
        <f t="shared" si="3"/>
        <v>30.585750484581496</v>
      </c>
      <c r="K18" s="10">
        <f t="shared" si="3"/>
        <v>34.577964170337737</v>
      </c>
      <c r="L18" s="10">
        <f t="shared" si="3"/>
        <v>27.171851864904557</v>
      </c>
      <c r="M18" s="10">
        <f t="shared" si="3"/>
        <v>29.293140323054335</v>
      </c>
      <c r="N18" s="10">
        <f t="shared" si="3"/>
        <v>33.118178560939796</v>
      </c>
      <c r="O18" s="10">
        <f t="shared" si="3"/>
        <v>24.730610396475775</v>
      </c>
      <c r="P18" s="10">
        <f t="shared" si="3"/>
        <v>26.7071201174743</v>
      </c>
      <c r="Q18" s="10">
        <f t="shared" si="3"/>
        <v>30.200207107195304</v>
      </c>
    </row>
    <row r="19" spans="3:25" x14ac:dyDescent="0.2">
      <c r="Y19" s="4"/>
    </row>
    <row r="20" spans="3:25" x14ac:dyDescent="0.2">
      <c r="C20" t="s">
        <v>35</v>
      </c>
      <c r="F20" s="5">
        <v>24.06</v>
      </c>
      <c r="G20" s="5">
        <v>24.06</v>
      </c>
      <c r="H20" s="5">
        <v>24.06</v>
      </c>
      <c r="I20" s="5">
        <v>28.87</v>
      </c>
      <c r="J20" s="5">
        <v>28.87</v>
      </c>
      <c r="K20" s="5">
        <v>28.87</v>
      </c>
      <c r="L20" s="5">
        <v>27.67</v>
      </c>
      <c r="M20" s="5">
        <v>27.67</v>
      </c>
      <c r="N20" s="5">
        <v>27.67</v>
      </c>
      <c r="O20" s="5">
        <v>25.26</v>
      </c>
      <c r="P20" s="5">
        <v>25.26</v>
      </c>
      <c r="Q20" s="5">
        <v>25.26</v>
      </c>
      <c r="S20" s="4" t="s">
        <v>39</v>
      </c>
    </row>
    <row r="22" spans="3:25" x14ac:dyDescent="0.2">
      <c r="C22" t="s">
        <v>36</v>
      </c>
      <c r="F22" s="33">
        <f>F18-F20</f>
        <v>-0.52921339207048135</v>
      </c>
      <c r="G22" s="33">
        <f t="shared" ref="G22:Q22" si="4">G18-G20</f>
        <v>1.3545099559471367</v>
      </c>
      <c r="H22" s="33">
        <f t="shared" si="4"/>
        <v>4.6812213803230556</v>
      </c>
      <c r="I22" s="33">
        <f t="shared" si="4"/>
        <v>-0.54311776798825662</v>
      </c>
      <c r="J22" s="33">
        <f t="shared" si="4"/>
        <v>1.7157504845814948</v>
      </c>
      <c r="K22" s="33">
        <f t="shared" si="4"/>
        <v>5.7079641703377355</v>
      </c>
      <c r="L22" s="33">
        <f t="shared" si="4"/>
        <v>-0.49814813509544464</v>
      </c>
      <c r="M22" s="33">
        <f t="shared" si="4"/>
        <v>1.6231403230543329</v>
      </c>
      <c r="N22" s="33">
        <f t="shared" si="4"/>
        <v>5.4481785609397946</v>
      </c>
      <c r="O22" s="33">
        <f t="shared" si="4"/>
        <v>-0.52938960352422626</v>
      </c>
      <c r="P22" s="33">
        <f t="shared" si="4"/>
        <v>1.4471201174742987</v>
      </c>
      <c r="Q22" s="33">
        <f t="shared" si="4"/>
        <v>4.9402071071953024</v>
      </c>
    </row>
    <row r="25" spans="3:25" x14ac:dyDescent="0.2">
      <c r="C25" s="58" t="s">
        <v>37</v>
      </c>
      <c r="D25" s="59"/>
      <c r="E25" s="60"/>
      <c r="F25" s="64" t="s">
        <v>26</v>
      </c>
      <c r="G25" s="65"/>
      <c r="H25" s="66"/>
      <c r="I25" s="64" t="s">
        <v>28</v>
      </c>
      <c r="J25" s="65"/>
      <c r="K25" s="66"/>
      <c r="L25" s="64" t="s">
        <v>29</v>
      </c>
      <c r="M25" s="65"/>
      <c r="N25" s="66"/>
      <c r="O25" s="64" t="s">
        <v>30</v>
      </c>
      <c r="P25" s="65"/>
      <c r="Q25" s="66"/>
    </row>
    <row r="26" spans="3:25" x14ac:dyDescent="0.2">
      <c r="C26" s="61"/>
      <c r="D26" s="62"/>
      <c r="E26" s="63"/>
      <c r="F26" s="28" t="s">
        <v>1</v>
      </c>
      <c r="G26" s="29" t="s">
        <v>2</v>
      </c>
      <c r="H26" s="30" t="s">
        <v>3</v>
      </c>
      <c r="I26" s="28" t="s">
        <v>1</v>
      </c>
      <c r="J26" s="29" t="s">
        <v>2</v>
      </c>
      <c r="K26" s="30" t="s">
        <v>3</v>
      </c>
      <c r="L26" s="28" t="s">
        <v>1</v>
      </c>
      <c r="M26" s="29" t="s">
        <v>2</v>
      </c>
      <c r="N26" s="30" t="s">
        <v>3</v>
      </c>
      <c r="O26" s="28" t="s">
        <v>1</v>
      </c>
      <c r="P26" s="29" t="s">
        <v>2</v>
      </c>
      <c r="Q26" s="30" t="s">
        <v>3</v>
      </c>
    </row>
    <row r="27" spans="3:25" x14ac:dyDescent="0.2">
      <c r="C27" t="s">
        <v>38</v>
      </c>
      <c r="F27" s="31">
        <f>'Pay scales'!D14</f>
        <v>37339</v>
      </c>
      <c r="G27" s="31">
        <f>'Pay scales'!D15</f>
        <v>39404</v>
      </c>
      <c r="H27" s="31">
        <f>'Pay scales'!D16</f>
        <v>44962</v>
      </c>
      <c r="I27" s="31">
        <f>'Pay scales'!E14</f>
        <v>44805</v>
      </c>
      <c r="J27" s="31">
        <f>'Pay scales'!E15</f>
        <v>47286</v>
      </c>
      <c r="K27" s="31">
        <f>'Pay scales'!E16</f>
        <v>53132</v>
      </c>
      <c r="L27" s="31">
        <f>'Pay scales'!F14</f>
        <v>42938</v>
      </c>
      <c r="M27" s="31">
        <f>'Pay scales'!F15</f>
        <v>45140</v>
      </c>
      <c r="N27" s="31">
        <f>'Pay scales'!F16</f>
        <v>50696</v>
      </c>
      <c r="O27" s="31">
        <f>'Pay scales'!G14</f>
        <v>39204</v>
      </c>
      <c r="P27" s="31">
        <f>'Pay scales'!G15</f>
        <v>41376</v>
      </c>
      <c r="Q27" s="31">
        <f>'Pay scales'!G16</f>
        <v>47083</v>
      </c>
      <c r="S27" s="32" t="s">
        <v>4</v>
      </c>
    </row>
    <row r="29" spans="3:25" x14ac:dyDescent="0.2">
      <c r="C29" t="s">
        <v>5</v>
      </c>
      <c r="F29" s="7">
        <v>4850.2299999999996</v>
      </c>
      <c r="G29" s="31">
        <v>5159.9799999999996</v>
      </c>
      <c r="H29" s="31">
        <v>5993.68</v>
      </c>
      <c r="I29" s="31">
        <v>5970.13</v>
      </c>
      <c r="J29" s="31">
        <v>6342.28</v>
      </c>
      <c r="K29" s="31">
        <v>7219.16</v>
      </c>
      <c r="L29" s="31">
        <v>5690.08</v>
      </c>
      <c r="M29" s="31">
        <v>6020.38</v>
      </c>
      <c r="N29" s="31">
        <v>6853.76</v>
      </c>
      <c r="O29" s="31">
        <v>5129.9799999999996</v>
      </c>
      <c r="P29" s="31">
        <v>5455.78</v>
      </c>
      <c r="Q29" s="31">
        <v>6311.83</v>
      </c>
      <c r="S29" s="32" t="s">
        <v>31</v>
      </c>
    </row>
    <row r="31" spans="3:25" x14ac:dyDescent="0.2">
      <c r="C31" t="s">
        <v>6</v>
      </c>
      <c r="D31" s="8"/>
      <c r="F31" s="7">
        <f t="shared" ref="F31:Q31" si="5">$E49*F27</f>
        <v>7721.7052000000003</v>
      </c>
      <c r="G31" s="7">
        <f t="shared" si="5"/>
        <v>8148.7472000000007</v>
      </c>
      <c r="H31" s="7">
        <f t="shared" si="5"/>
        <v>9298.1416000000008</v>
      </c>
      <c r="I31" s="7">
        <f t="shared" si="5"/>
        <v>9265.6740000000009</v>
      </c>
      <c r="J31" s="7">
        <f t="shared" si="5"/>
        <v>9778.7448000000004</v>
      </c>
      <c r="K31" s="7">
        <f t="shared" si="5"/>
        <v>10987.697600000001</v>
      </c>
      <c r="L31" s="7">
        <f t="shared" si="5"/>
        <v>8879.5784000000003</v>
      </c>
      <c r="M31" s="7">
        <f t="shared" si="5"/>
        <v>9334.9520000000011</v>
      </c>
      <c r="N31" s="7">
        <f t="shared" si="5"/>
        <v>10483.9328</v>
      </c>
      <c r="O31" s="7">
        <f t="shared" si="5"/>
        <v>8107.3872000000001</v>
      </c>
      <c r="P31" s="7">
        <f t="shared" si="5"/>
        <v>8556.5568000000003</v>
      </c>
      <c r="Q31" s="7">
        <f t="shared" si="5"/>
        <v>9736.7644</v>
      </c>
    </row>
    <row r="33" spans="3:25" x14ac:dyDescent="0.2">
      <c r="C33" t="s">
        <v>8</v>
      </c>
      <c r="D33" s="8"/>
      <c r="F33" s="7">
        <f t="shared" ref="F33:Q33" si="6">$E51*F27</f>
        <v>186.69499999999999</v>
      </c>
      <c r="G33" s="7">
        <f t="shared" si="6"/>
        <v>197.02</v>
      </c>
      <c r="H33" s="7">
        <f t="shared" si="6"/>
        <v>224.81</v>
      </c>
      <c r="I33" s="7">
        <f t="shared" si="6"/>
        <v>224.02500000000001</v>
      </c>
      <c r="J33" s="7">
        <f t="shared" si="6"/>
        <v>236.43</v>
      </c>
      <c r="K33" s="7">
        <f t="shared" si="6"/>
        <v>265.66000000000003</v>
      </c>
      <c r="L33" s="7">
        <f t="shared" si="6"/>
        <v>214.69</v>
      </c>
      <c r="M33" s="7">
        <f t="shared" si="6"/>
        <v>225.70000000000002</v>
      </c>
      <c r="N33" s="7">
        <f t="shared" si="6"/>
        <v>253.48000000000002</v>
      </c>
      <c r="O33" s="7">
        <f t="shared" si="6"/>
        <v>196.02</v>
      </c>
      <c r="P33" s="7">
        <f t="shared" si="6"/>
        <v>206.88</v>
      </c>
      <c r="Q33" s="7">
        <f t="shared" si="6"/>
        <v>235.41499999999999</v>
      </c>
    </row>
    <row r="35" spans="3:25" x14ac:dyDescent="0.2">
      <c r="C35" t="s">
        <v>10</v>
      </c>
      <c r="F35" s="9">
        <f>SUM(F27:F34)</f>
        <v>50097.630199999992</v>
      </c>
      <c r="G35" s="9">
        <f>SUM(G27:G34)</f>
        <v>52909.747199999991</v>
      </c>
      <c r="H35" s="9">
        <f>SUM(H27:H34)</f>
        <v>60478.631600000001</v>
      </c>
      <c r="I35" s="9">
        <f t="shared" ref="I35" si="7">SUM(I27:I34)</f>
        <v>60264.828999999998</v>
      </c>
      <c r="J35" s="9">
        <f t="shared" ref="J35" si="8">SUM(J27:J34)</f>
        <v>63643.4548</v>
      </c>
      <c r="K35" s="9">
        <f t="shared" ref="K35" si="9">SUM(K27:K34)</f>
        <v>71604.517600000006</v>
      </c>
      <c r="L35" s="9">
        <f t="shared" ref="L35" si="10">SUM(L27:L34)</f>
        <v>57722.348400000003</v>
      </c>
      <c r="M35" s="9">
        <f t="shared" ref="M35" si="11">SUM(M27:M34)</f>
        <v>60721.031999999992</v>
      </c>
      <c r="N35" s="9">
        <f t="shared" ref="N35" si="12">SUM(N27:N34)</f>
        <v>68287.1728</v>
      </c>
      <c r="O35" s="9">
        <f t="shared" ref="O35" si="13">SUM(O27:O34)</f>
        <v>52637.38719999999</v>
      </c>
      <c r="P35" s="9">
        <f t="shared" ref="P35" si="14">SUM(P27:P34)</f>
        <v>55595.216799999995</v>
      </c>
      <c r="Q35" s="9">
        <f t="shared" ref="Q35" si="15">SUM(Q27:Q34)</f>
        <v>63367.009400000003</v>
      </c>
    </row>
    <row r="37" spans="3:25" x14ac:dyDescent="0.2">
      <c r="C37" t="s">
        <v>11</v>
      </c>
      <c r="F37" s="10">
        <f>F35/$E$57/$E$47</f>
        <v>29.425920822320112</v>
      </c>
      <c r="G37" s="10">
        <f t="shared" ref="G37:Q37" si="16">G35/$E$57/$E$47</f>
        <v>31.077678237885461</v>
      </c>
      <c r="H37" s="10">
        <f t="shared" si="16"/>
        <v>35.523425315712188</v>
      </c>
      <c r="I37" s="10">
        <f t="shared" si="16"/>
        <v>35.397843759177682</v>
      </c>
      <c r="J37" s="10">
        <f t="shared" si="16"/>
        <v>37.382352305433187</v>
      </c>
      <c r="K37" s="10">
        <f t="shared" si="16"/>
        <v>42.058453803230549</v>
      </c>
      <c r="L37" s="10">
        <f t="shared" si="16"/>
        <v>33.904463083700442</v>
      </c>
      <c r="M37" s="10">
        <f t="shared" si="16"/>
        <v>35.665804405286337</v>
      </c>
      <c r="N37" s="10">
        <f t="shared" si="16"/>
        <v>40.10993997063143</v>
      </c>
      <c r="O37" s="10">
        <f t="shared" si="16"/>
        <v>30.917701732745954</v>
      </c>
      <c r="P37" s="10">
        <f t="shared" si="16"/>
        <v>32.655046578560935</v>
      </c>
      <c r="Q37" s="10">
        <f t="shared" si="16"/>
        <v>37.219976152716598</v>
      </c>
    </row>
    <row r="38" spans="3:25" x14ac:dyDescent="0.2">
      <c r="Y38" s="4"/>
    </row>
    <row r="39" spans="3:25" x14ac:dyDescent="0.2">
      <c r="C39" t="s">
        <v>35</v>
      </c>
      <c r="F39" s="5">
        <v>29.78</v>
      </c>
      <c r="G39" s="5">
        <v>29.78</v>
      </c>
      <c r="H39" s="5">
        <v>29.78</v>
      </c>
      <c r="I39" s="5">
        <v>35.119999999999997</v>
      </c>
      <c r="J39" s="5">
        <v>35.119999999999997</v>
      </c>
      <c r="K39" s="5">
        <v>35.119999999999997</v>
      </c>
      <c r="L39" s="5">
        <v>33.520000000000003</v>
      </c>
      <c r="M39" s="5">
        <v>33.520000000000003</v>
      </c>
      <c r="N39" s="5">
        <v>33.520000000000003</v>
      </c>
      <c r="O39" s="5">
        <v>31.17</v>
      </c>
      <c r="P39" s="5">
        <v>31.17</v>
      </c>
      <c r="Q39" s="5">
        <v>31.17</v>
      </c>
      <c r="S39" s="4" t="s">
        <v>39</v>
      </c>
    </row>
    <row r="41" spans="3:25" x14ac:dyDescent="0.2">
      <c r="C41" t="s">
        <v>36</v>
      </c>
      <c r="F41" s="33">
        <f>F37-F39</f>
        <v>-0.35407917767988906</v>
      </c>
      <c r="G41" s="33">
        <f t="shared" ref="G41:Q41" si="17">G37-G39</f>
        <v>1.2976782378854601</v>
      </c>
      <c r="H41" s="33">
        <f t="shared" si="17"/>
        <v>5.7434253157121873</v>
      </c>
      <c r="I41" s="33">
        <f t="shared" si="17"/>
        <v>0.277843759177685</v>
      </c>
      <c r="J41" s="33">
        <f t="shared" si="17"/>
        <v>2.2623523054331898</v>
      </c>
      <c r="K41" s="33">
        <f t="shared" si="17"/>
        <v>6.9384538032305514</v>
      </c>
      <c r="L41" s="33">
        <f t="shared" si="17"/>
        <v>0.3844630837004388</v>
      </c>
      <c r="M41" s="33">
        <f t="shared" si="17"/>
        <v>2.1458044052863343</v>
      </c>
      <c r="N41" s="33">
        <f t="shared" si="17"/>
        <v>6.589939970631427</v>
      </c>
      <c r="O41" s="33">
        <f t="shared" si="17"/>
        <v>-0.25229826725404791</v>
      </c>
      <c r="P41" s="33">
        <f t="shared" si="17"/>
        <v>1.485046578560933</v>
      </c>
      <c r="Q41" s="33">
        <f t="shared" si="17"/>
        <v>6.0499761527165958</v>
      </c>
    </row>
    <row r="45" spans="3:25" x14ac:dyDescent="0.2">
      <c r="C45" t="s">
        <v>32</v>
      </c>
      <c r="E45" s="27">
        <v>27</v>
      </c>
      <c r="G45" s="4" t="s">
        <v>12</v>
      </c>
    </row>
    <row r="47" spans="3:25" x14ac:dyDescent="0.2">
      <c r="C47" t="s">
        <v>33</v>
      </c>
      <c r="E47" s="27">
        <v>37.5</v>
      </c>
      <c r="G47" s="4" t="s">
        <v>12</v>
      </c>
    </row>
    <row r="49" spans="3:7" x14ac:dyDescent="0.2">
      <c r="C49" t="s">
        <v>34</v>
      </c>
      <c r="E49" s="6">
        <v>0.20680000000000001</v>
      </c>
      <c r="G49" s="4" t="s">
        <v>7</v>
      </c>
    </row>
    <row r="51" spans="3:7" x14ac:dyDescent="0.2">
      <c r="C51" t="s">
        <v>8</v>
      </c>
      <c r="E51" s="6">
        <v>5.0000000000000001E-3</v>
      </c>
      <c r="G51" s="4" t="s">
        <v>9</v>
      </c>
    </row>
    <row r="53" spans="3:7" x14ac:dyDescent="0.2">
      <c r="C53" t="s">
        <v>63</v>
      </c>
      <c r="E53" s="27">
        <v>254</v>
      </c>
      <c r="G53" s="4" t="s">
        <v>64</v>
      </c>
    </row>
    <row r="55" spans="3:7" x14ac:dyDescent="0.2">
      <c r="C55" t="s">
        <v>65</v>
      </c>
      <c r="E55">
        <f>E53-E45</f>
        <v>227</v>
      </c>
    </row>
    <row r="57" spans="3:7" x14ac:dyDescent="0.2">
      <c r="C57" t="s">
        <v>66</v>
      </c>
      <c r="E57">
        <f>E55/5</f>
        <v>45.4</v>
      </c>
    </row>
  </sheetData>
  <mergeCells count="10">
    <mergeCell ref="F6:H6"/>
    <mergeCell ref="I6:K6"/>
    <mergeCell ref="L6:N6"/>
    <mergeCell ref="O6:Q6"/>
    <mergeCell ref="C6:E7"/>
    <mergeCell ref="C25:E26"/>
    <mergeCell ref="F25:H25"/>
    <mergeCell ref="I25:K25"/>
    <mergeCell ref="L25:N25"/>
    <mergeCell ref="O25:Q25"/>
  </mergeCells>
  <hyperlinks>
    <hyperlink ref="G47" r:id="rId1" xr:uid="{F884F89C-443F-DF45-A714-CF80A02F14E0}"/>
    <hyperlink ref="G49" r:id="rId2" xr:uid="{6EE884C9-1705-2D4D-BB35-523694987539}"/>
    <hyperlink ref="S8" r:id="rId3" xr:uid="{197B5044-B2F8-724E-9656-D632F314BCF3}"/>
    <hyperlink ref="G51" r:id="rId4" xr:uid="{0EE1BB00-D2F8-0C4A-805F-E615B22C6251}"/>
    <hyperlink ref="G45" r:id="rId5" xr:uid="{0CD19DE7-3764-584E-A602-F7DF459A6CF3}"/>
    <hyperlink ref="S27" r:id="rId6" xr:uid="{B6CBED68-0E3C-F64A-9619-08AD2958D3C3}"/>
    <hyperlink ref="S20" r:id="rId7" xr:uid="{129E4986-FD9D-254E-B9CA-870EB944AE7D}"/>
    <hyperlink ref="S39" r:id="rId8" xr:uid="{1E64260C-E32D-5948-8FAA-CA2ADD2C29F6}"/>
    <hyperlink ref="G53" r:id="rId9" xr:uid="{B2103E35-948A-2741-9E18-001E3F7445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A2C0-BAC7-8B47-8829-9B09420C2300}">
  <dimension ref="A1:Y57"/>
  <sheetViews>
    <sheetView showGridLines="0" workbookViewId="0">
      <selection activeCell="G57" sqref="G57"/>
    </sheetView>
  </sheetViews>
  <sheetFormatPr baseColWidth="10" defaultRowHeight="16" x14ac:dyDescent="0.2"/>
  <cols>
    <col min="1" max="2" width="2.5" customWidth="1"/>
    <col min="3" max="3" width="21.83203125" customWidth="1"/>
  </cols>
  <sheetData>
    <row r="1" spans="1:19" ht="22" x14ac:dyDescent="0.3">
      <c r="A1" s="34" t="s">
        <v>0</v>
      </c>
    </row>
    <row r="2" spans="1:19" x14ac:dyDescent="0.2">
      <c r="A2" s="1"/>
    </row>
    <row r="3" spans="1:19" ht="22" x14ac:dyDescent="0.3">
      <c r="A3" s="34" t="s">
        <v>43</v>
      </c>
    </row>
    <row r="4" spans="1:19" x14ac:dyDescent="0.2">
      <c r="A4" s="1"/>
    </row>
    <row r="5" spans="1:19" x14ac:dyDescent="0.2">
      <c r="A5" s="1"/>
    </row>
    <row r="6" spans="1:19" x14ac:dyDescent="0.2">
      <c r="C6" s="58" t="s">
        <v>27</v>
      </c>
      <c r="D6" s="59"/>
      <c r="E6" s="60"/>
      <c r="F6" s="64" t="s">
        <v>26</v>
      </c>
      <c r="G6" s="65"/>
      <c r="H6" s="66"/>
      <c r="I6" s="64" t="s">
        <v>28</v>
      </c>
      <c r="J6" s="65"/>
      <c r="K6" s="66"/>
      <c r="L6" s="64" t="s">
        <v>29</v>
      </c>
      <c r="M6" s="65"/>
      <c r="N6" s="66"/>
      <c r="O6" s="64" t="s">
        <v>30</v>
      </c>
      <c r="P6" s="65"/>
      <c r="Q6" s="66"/>
    </row>
    <row r="7" spans="1:19" x14ac:dyDescent="0.2">
      <c r="C7" s="61"/>
      <c r="D7" s="62"/>
      <c r="E7" s="63"/>
      <c r="F7" s="28" t="s">
        <v>1</v>
      </c>
      <c r="G7" s="29" t="s">
        <v>2</v>
      </c>
      <c r="H7" s="30" t="s">
        <v>3</v>
      </c>
      <c r="I7" s="28" t="s">
        <v>1</v>
      </c>
      <c r="J7" s="29" t="s">
        <v>2</v>
      </c>
      <c r="K7" s="30" t="s">
        <v>3</v>
      </c>
      <c r="L7" s="28" t="s">
        <v>1</v>
      </c>
      <c r="M7" s="29" t="s">
        <v>2</v>
      </c>
      <c r="N7" s="30" t="s">
        <v>3</v>
      </c>
      <c r="O7" s="28" t="s">
        <v>1</v>
      </c>
      <c r="P7" s="29" t="s">
        <v>2</v>
      </c>
      <c r="Q7" s="30" t="s">
        <v>3</v>
      </c>
    </row>
    <row r="8" spans="1:19" x14ac:dyDescent="0.2">
      <c r="C8" t="s">
        <v>38</v>
      </c>
      <c r="F8" s="31">
        <f>'Pay scales'!D7</f>
        <v>29969</v>
      </c>
      <c r="G8" s="31">
        <f>'Pay scales'!D8</f>
        <v>32324</v>
      </c>
      <c r="H8" s="31">
        <f>'Pay scales'!D9</f>
        <v>36483</v>
      </c>
      <c r="I8" s="31">
        <f>'Pay scales'!E7</f>
        <v>35965</v>
      </c>
      <c r="J8" s="31">
        <f>'Pay scales'!E8</f>
        <v>38789</v>
      </c>
      <c r="K8" s="31">
        <f>'Pay scales'!E9</f>
        <v>43780</v>
      </c>
      <c r="L8" s="31">
        <f>'Pay scales'!F7</f>
        <v>34521</v>
      </c>
      <c r="M8" s="31">
        <f>'Pay scales'!F8</f>
        <v>37173</v>
      </c>
      <c r="N8" s="31">
        <f>'Pay scales'!F9</f>
        <v>41955</v>
      </c>
      <c r="O8" s="31">
        <f>'Pay scales'!G7</f>
        <v>31469</v>
      </c>
      <c r="P8" s="31">
        <f>'Pay scales'!G8</f>
        <v>33940</v>
      </c>
      <c r="Q8" s="31">
        <f>'Pay scales'!G9</f>
        <v>38307</v>
      </c>
      <c r="S8" s="32" t="s">
        <v>4</v>
      </c>
    </row>
    <row r="10" spans="1:19" x14ac:dyDescent="0.2">
      <c r="C10" t="s">
        <v>5</v>
      </c>
      <c r="F10" s="7">
        <v>3744.73</v>
      </c>
      <c r="G10" s="31">
        <v>4097.9799999999996</v>
      </c>
      <c r="H10" s="31">
        <v>4721.83</v>
      </c>
      <c r="I10" s="31">
        <v>4644.13</v>
      </c>
      <c r="J10" s="31">
        <v>5067.7299999999996</v>
      </c>
      <c r="K10" s="31">
        <v>5816.38</v>
      </c>
      <c r="L10" s="31">
        <v>4427.53</v>
      </c>
      <c r="M10" s="31">
        <v>4825.33</v>
      </c>
      <c r="N10" s="31">
        <v>5542.63</v>
      </c>
      <c r="O10" s="31">
        <v>3969.73</v>
      </c>
      <c r="P10" s="31">
        <v>4340.38</v>
      </c>
      <c r="Q10" s="31">
        <v>4995.43</v>
      </c>
      <c r="S10" s="32" t="s">
        <v>31</v>
      </c>
    </row>
    <row r="12" spans="1:19" x14ac:dyDescent="0.2">
      <c r="C12" t="s">
        <v>6</v>
      </c>
      <c r="D12" s="8"/>
      <c r="F12" s="7">
        <f t="shared" ref="F12:Q12" si="0">$E49*F8</f>
        <v>6197.5892000000003</v>
      </c>
      <c r="G12" s="7">
        <f t="shared" si="0"/>
        <v>6684.6032000000005</v>
      </c>
      <c r="H12" s="7">
        <f t="shared" si="0"/>
        <v>7544.6844000000001</v>
      </c>
      <c r="I12" s="7">
        <f t="shared" si="0"/>
        <v>7437.5620000000008</v>
      </c>
      <c r="J12" s="7">
        <f t="shared" si="0"/>
        <v>8021.5652</v>
      </c>
      <c r="K12" s="7">
        <f t="shared" si="0"/>
        <v>9053.7039999999997</v>
      </c>
      <c r="L12" s="7">
        <f t="shared" si="0"/>
        <v>7138.9428000000007</v>
      </c>
      <c r="M12" s="7">
        <f t="shared" si="0"/>
        <v>7687.3764000000001</v>
      </c>
      <c r="N12" s="7">
        <f t="shared" si="0"/>
        <v>8676.2939999999999</v>
      </c>
      <c r="O12" s="7">
        <f t="shared" si="0"/>
        <v>6507.7892000000002</v>
      </c>
      <c r="P12" s="7">
        <f t="shared" si="0"/>
        <v>7018.7920000000004</v>
      </c>
      <c r="Q12" s="7">
        <f t="shared" si="0"/>
        <v>7921.8876</v>
      </c>
    </row>
    <row r="14" spans="1:19" x14ac:dyDescent="0.2">
      <c r="C14" t="s">
        <v>8</v>
      </c>
      <c r="D14" s="8">
        <v>5.0000000000000001E-3</v>
      </c>
      <c r="F14" s="7">
        <f t="shared" ref="F14:Q14" si="1">$E51*F8</f>
        <v>149.845</v>
      </c>
      <c r="G14" s="7">
        <f t="shared" si="1"/>
        <v>161.62</v>
      </c>
      <c r="H14" s="7">
        <f t="shared" si="1"/>
        <v>182.41499999999999</v>
      </c>
      <c r="I14" s="7">
        <f t="shared" si="1"/>
        <v>179.82500000000002</v>
      </c>
      <c r="J14" s="7">
        <f t="shared" si="1"/>
        <v>193.94499999999999</v>
      </c>
      <c r="K14" s="7">
        <f t="shared" si="1"/>
        <v>218.9</v>
      </c>
      <c r="L14" s="7">
        <f t="shared" si="1"/>
        <v>172.60499999999999</v>
      </c>
      <c r="M14" s="7">
        <f t="shared" si="1"/>
        <v>185.86500000000001</v>
      </c>
      <c r="N14" s="7">
        <f t="shared" si="1"/>
        <v>209.77500000000001</v>
      </c>
      <c r="O14" s="7">
        <f t="shared" si="1"/>
        <v>157.345</v>
      </c>
      <c r="P14" s="7">
        <f t="shared" si="1"/>
        <v>169.70000000000002</v>
      </c>
      <c r="Q14" s="7">
        <f t="shared" si="1"/>
        <v>191.535</v>
      </c>
    </row>
    <row r="16" spans="1:19" x14ac:dyDescent="0.2">
      <c r="C16" t="s">
        <v>10</v>
      </c>
      <c r="F16" s="9">
        <f>SUM(F8:F15)</f>
        <v>40061.164200000007</v>
      </c>
      <c r="G16" s="9">
        <f>SUM(G8:G15)</f>
        <v>43268.203199999996</v>
      </c>
      <c r="H16" s="9">
        <f>SUM(H8:H15)</f>
        <v>48931.929400000001</v>
      </c>
      <c r="I16" s="9">
        <f t="shared" ref="I16:Q16" si="2">SUM(I8:I15)</f>
        <v>48226.516999999993</v>
      </c>
      <c r="J16" s="9">
        <f t="shared" si="2"/>
        <v>52072.240199999993</v>
      </c>
      <c r="K16" s="9">
        <f t="shared" si="2"/>
        <v>58868.983999999997</v>
      </c>
      <c r="L16" s="9">
        <f t="shared" si="2"/>
        <v>46260.077800000006</v>
      </c>
      <c r="M16" s="9">
        <f t="shared" si="2"/>
        <v>49871.571400000001</v>
      </c>
      <c r="N16" s="9">
        <f t="shared" si="2"/>
        <v>56383.699000000001</v>
      </c>
      <c r="O16" s="9">
        <f t="shared" si="2"/>
        <v>42103.864200000004</v>
      </c>
      <c r="P16" s="9">
        <f t="shared" si="2"/>
        <v>45468.871999999996</v>
      </c>
      <c r="Q16" s="9">
        <f t="shared" si="2"/>
        <v>51415.852600000006</v>
      </c>
    </row>
    <row r="18" spans="3:25" x14ac:dyDescent="0.2">
      <c r="C18" t="s">
        <v>11</v>
      </c>
      <c r="F18" s="10">
        <f>Days!F18*'Nights &amp; Weekends'!$E$53</f>
        <v>30.590022590308372</v>
      </c>
      <c r="G18" s="10">
        <f>Days!G18*'Nights &amp; Weekends'!$E$53</f>
        <v>33.038862942731278</v>
      </c>
      <c r="H18" s="10">
        <f>Days!H18*'Nights &amp; Weekends'!$E$53</f>
        <v>37.363587794419971</v>
      </c>
      <c r="I18" s="10">
        <f>Days!I18*'Nights &amp; Weekends'!$E$53</f>
        <v>36.82494690161527</v>
      </c>
      <c r="J18" s="10">
        <f>Days!J18*'Nights &amp; Weekends'!$E$53</f>
        <v>39.761475629955946</v>
      </c>
      <c r="K18" s="10">
        <f>Days!K18*'Nights &amp; Weekends'!$E$53</f>
        <v>44.951353421439059</v>
      </c>
      <c r="L18" s="10">
        <f>Days!L18*'Nights &amp; Weekends'!$E$53</f>
        <v>35.323407424375922</v>
      </c>
      <c r="M18" s="10">
        <f>Days!M18*'Nights &amp; Weekends'!$E$53</f>
        <v>38.081082419970635</v>
      </c>
      <c r="N18" s="10">
        <f>Days!N18*'Nights &amp; Weekends'!$E$53</f>
        <v>43.053632129221739</v>
      </c>
      <c r="O18" s="10">
        <f>Days!O18*'Nights &amp; Weekends'!$E$53</f>
        <v>32.149793515418509</v>
      </c>
      <c r="P18" s="10">
        <f>Days!P18*'Nights &amp; Weekends'!$E$53</f>
        <v>34.719256152716589</v>
      </c>
      <c r="Q18" s="10">
        <f>Days!Q18*'Nights &amp; Weekends'!$E$53</f>
        <v>39.260269239353896</v>
      </c>
    </row>
    <row r="19" spans="3:25" x14ac:dyDescent="0.2">
      <c r="Y19" s="4"/>
    </row>
    <row r="20" spans="3:25" x14ac:dyDescent="0.2">
      <c r="C20" t="s">
        <v>35</v>
      </c>
      <c r="F20" s="5">
        <v>31.29</v>
      </c>
      <c r="G20" s="5">
        <v>31.29</v>
      </c>
      <c r="H20" s="5">
        <v>31.29</v>
      </c>
      <c r="I20" s="5">
        <v>36.1</v>
      </c>
      <c r="J20" s="5">
        <v>36.1</v>
      </c>
      <c r="K20" s="5">
        <v>36.1</v>
      </c>
      <c r="L20" s="5">
        <v>34.9</v>
      </c>
      <c r="M20" s="5">
        <v>34.9</v>
      </c>
      <c r="N20" s="5">
        <v>34.9</v>
      </c>
      <c r="O20" s="5">
        <v>32.49</v>
      </c>
      <c r="P20" s="5">
        <v>32.49</v>
      </c>
      <c r="Q20" s="5">
        <v>32.49</v>
      </c>
      <c r="S20" s="4" t="s">
        <v>39</v>
      </c>
    </row>
    <row r="22" spans="3:25" x14ac:dyDescent="0.2">
      <c r="C22" t="s">
        <v>36</v>
      </c>
      <c r="F22" s="33">
        <f>F18-F20</f>
        <v>-0.69997740969162692</v>
      </c>
      <c r="G22" s="33">
        <f t="shared" ref="G22:Q22" si="3">G18-G20</f>
        <v>1.7488629427312787</v>
      </c>
      <c r="H22" s="33">
        <f t="shared" si="3"/>
        <v>6.0735877944199714</v>
      </c>
      <c r="I22" s="33">
        <f t="shared" si="3"/>
        <v>0.72494690161526876</v>
      </c>
      <c r="J22" s="33">
        <f t="shared" si="3"/>
        <v>3.6614756299559446</v>
      </c>
      <c r="K22" s="33">
        <f t="shared" si="3"/>
        <v>8.8513534214390575</v>
      </c>
      <c r="L22" s="33">
        <f t="shared" si="3"/>
        <v>0.42340742437592382</v>
      </c>
      <c r="M22" s="33">
        <f t="shared" si="3"/>
        <v>3.181082419970636</v>
      </c>
      <c r="N22" s="33">
        <f t="shared" si="3"/>
        <v>8.1536321292217409</v>
      </c>
      <c r="O22" s="33">
        <f t="shared" si="3"/>
        <v>-0.34020648458149338</v>
      </c>
      <c r="P22" s="33">
        <f t="shared" si="3"/>
        <v>2.2292561527165873</v>
      </c>
      <c r="Q22" s="33">
        <f t="shared" si="3"/>
        <v>6.7702692393538939</v>
      </c>
    </row>
    <row r="25" spans="3:25" x14ac:dyDescent="0.2">
      <c r="C25" s="58" t="s">
        <v>37</v>
      </c>
      <c r="D25" s="59"/>
      <c r="E25" s="60"/>
      <c r="F25" s="64" t="s">
        <v>26</v>
      </c>
      <c r="G25" s="65"/>
      <c r="H25" s="66"/>
      <c r="I25" s="64" t="s">
        <v>28</v>
      </c>
      <c r="J25" s="65"/>
      <c r="K25" s="66"/>
      <c r="L25" s="64" t="s">
        <v>29</v>
      </c>
      <c r="M25" s="65"/>
      <c r="N25" s="66"/>
      <c r="O25" s="64" t="s">
        <v>30</v>
      </c>
      <c r="P25" s="65"/>
      <c r="Q25" s="66"/>
    </row>
    <row r="26" spans="3:25" x14ac:dyDescent="0.2">
      <c r="C26" s="61"/>
      <c r="D26" s="62"/>
      <c r="E26" s="63"/>
      <c r="F26" s="28" t="s">
        <v>1</v>
      </c>
      <c r="G26" s="29" t="s">
        <v>2</v>
      </c>
      <c r="H26" s="30" t="s">
        <v>3</v>
      </c>
      <c r="I26" s="28" t="s">
        <v>1</v>
      </c>
      <c r="J26" s="29" t="s">
        <v>2</v>
      </c>
      <c r="K26" s="30" t="s">
        <v>3</v>
      </c>
      <c r="L26" s="28" t="s">
        <v>1</v>
      </c>
      <c r="M26" s="29" t="s">
        <v>2</v>
      </c>
      <c r="N26" s="30" t="s">
        <v>3</v>
      </c>
      <c r="O26" s="28" t="s">
        <v>1</v>
      </c>
      <c r="P26" s="29" t="s">
        <v>2</v>
      </c>
      <c r="Q26" s="30" t="s">
        <v>3</v>
      </c>
    </row>
    <row r="27" spans="3:25" x14ac:dyDescent="0.2">
      <c r="C27" t="s">
        <v>38</v>
      </c>
      <c r="F27" s="31">
        <f>'Pay scales'!D14</f>
        <v>37339</v>
      </c>
      <c r="G27" s="31">
        <f>'Pay scales'!D15</f>
        <v>39404</v>
      </c>
      <c r="H27" s="31">
        <f>'Pay scales'!D16</f>
        <v>44962</v>
      </c>
      <c r="I27" s="31">
        <f>'Pay scales'!E14</f>
        <v>44805</v>
      </c>
      <c r="J27" s="31">
        <f>'Pay scales'!E15</f>
        <v>47286</v>
      </c>
      <c r="K27" s="31">
        <f>'Pay scales'!E16</f>
        <v>53132</v>
      </c>
      <c r="L27" s="31">
        <f>'Pay scales'!F14</f>
        <v>42938</v>
      </c>
      <c r="M27" s="31">
        <f>'Pay scales'!F15</f>
        <v>45140</v>
      </c>
      <c r="N27" s="31">
        <f>'Pay scales'!F16</f>
        <v>50696</v>
      </c>
      <c r="O27" s="31">
        <f>'Pay scales'!G14</f>
        <v>39204</v>
      </c>
      <c r="P27" s="31">
        <f>'Pay scales'!G15</f>
        <v>41376</v>
      </c>
      <c r="Q27" s="31">
        <f>'Pay scales'!G16</f>
        <v>47083</v>
      </c>
      <c r="S27" s="32" t="s">
        <v>4</v>
      </c>
    </row>
    <row r="29" spans="3:25" x14ac:dyDescent="0.2">
      <c r="C29" t="s">
        <v>5</v>
      </c>
      <c r="F29" s="7">
        <v>4850.2299999999996</v>
      </c>
      <c r="G29" s="31">
        <v>5159.9799999999996</v>
      </c>
      <c r="H29" s="31">
        <v>5993.68</v>
      </c>
      <c r="I29" s="31">
        <v>5970.13</v>
      </c>
      <c r="J29" s="31">
        <v>6342.28</v>
      </c>
      <c r="K29" s="31">
        <v>7219.16</v>
      </c>
      <c r="L29" s="31">
        <v>5690.08</v>
      </c>
      <c r="M29" s="31">
        <v>6020.38</v>
      </c>
      <c r="N29" s="31">
        <v>6853.76</v>
      </c>
      <c r="O29" s="31">
        <v>5129.9799999999996</v>
      </c>
      <c r="P29" s="31">
        <v>5455.78</v>
      </c>
      <c r="Q29" s="31">
        <v>6311.83</v>
      </c>
      <c r="S29" s="32" t="s">
        <v>31</v>
      </c>
    </row>
    <row r="31" spans="3:25" x14ac:dyDescent="0.2">
      <c r="C31" t="s">
        <v>6</v>
      </c>
      <c r="D31" s="8"/>
      <c r="F31" s="7">
        <f t="shared" ref="F31:Q31" si="4">$E49*F27</f>
        <v>7721.7052000000003</v>
      </c>
      <c r="G31" s="7">
        <f t="shared" si="4"/>
        <v>8148.7472000000007</v>
      </c>
      <c r="H31" s="7">
        <f t="shared" si="4"/>
        <v>9298.1416000000008</v>
      </c>
      <c r="I31" s="7">
        <f t="shared" si="4"/>
        <v>9265.6740000000009</v>
      </c>
      <c r="J31" s="7">
        <f t="shared" si="4"/>
        <v>9778.7448000000004</v>
      </c>
      <c r="K31" s="7">
        <f t="shared" si="4"/>
        <v>10987.697600000001</v>
      </c>
      <c r="L31" s="7">
        <f t="shared" si="4"/>
        <v>8879.5784000000003</v>
      </c>
      <c r="M31" s="7">
        <f t="shared" si="4"/>
        <v>9334.9520000000011</v>
      </c>
      <c r="N31" s="7">
        <f t="shared" si="4"/>
        <v>10483.9328</v>
      </c>
      <c r="O31" s="7">
        <f t="shared" si="4"/>
        <v>8107.3872000000001</v>
      </c>
      <c r="P31" s="7">
        <f t="shared" si="4"/>
        <v>8556.5568000000003</v>
      </c>
      <c r="Q31" s="7">
        <f t="shared" si="4"/>
        <v>9736.7644</v>
      </c>
    </row>
    <row r="33" spans="3:25" x14ac:dyDescent="0.2">
      <c r="C33" t="s">
        <v>8</v>
      </c>
      <c r="D33" s="8">
        <v>5.0000000000000001E-3</v>
      </c>
      <c r="F33" s="7">
        <f t="shared" ref="F33:Q33" si="5">$E51*F27</f>
        <v>186.69499999999999</v>
      </c>
      <c r="G33" s="7">
        <f t="shared" si="5"/>
        <v>197.02</v>
      </c>
      <c r="H33" s="7">
        <f t="shared" si="5"/>
        <v>224.81</v>
      </c>
      <c r="I33" s="7">
        <f t="shared" si="5"/>
        <v>224.02500000000001</v>
      </c>
      <c r="J33" s="7">
        <f t="shared" si="5"/>
        <v>236.43</v>
      </c>
      <c r="K33" s="7">
        <f t="shared" si="5"/>
        <v>265.66000000000003</v>
      </c>
      <c r="L33" s="7">
        <f t="shared" si="5"/>
        <v>214.69</v>
      </c>
      <c r="M33" s="7">
        <f t="shared" si="5"/>
        <v>225.70000000000002</v>
      </c>
      <c r="N33" s="7">
        <f t="shared" si="5"/>
        <v>253.48000000000002</v>
      </c>
      <c r="O33" s="7">
        <f t="shared" si="5"/>
        <v>196.02</v>
      </c>
      <c r="P33" s="7">
        <f t="shared" si="5"/>
        <v>206.88</v>
      </c>
      <c r="Q33" s="7">
        <f t="shared" si="5"/>
        <v>235.41499999999999</v>
      </c>
    </row>
    <row r="35" spans="3:25" x14ac:dyDescent="0.2">
      <c r="C35" t="s">
        <v>10</v>
      </c>
      <c r="F35" s="9">
        <f>SUM(F27:F34)</f>
        <v>50097.630199999992</v>
      </c>
      <c r="G35" s="9">
        <f>SUM(G27:G34)</f>
        <v>52909.747199999991</v>
      </c>
      <c r="H35" s="9">
        <f>SUM(H27:H34)</f>
        <v>60478.631600000001</v>
      </c>
      <c r="I35" s="9">
        <f t="shared" ref="I35:Q35" si="6">SUM(I27:I34)</f>
        <v>60264.828999999998</v>
      </c>
      <c r="J35" s="9">
        <f t="shared" si="6"/>
        <v>63643.4548</v>
      </c>
      <c r="K35" s="9">
        <f t="shared" si="6"/>
        <v>71604.517600000006</v>
      </c>
      <c r="L35" s="9">
        <f t="shared" si="6"/>
        <v>57722.348400000003</v>
      </c>
      <c r="M35" s="9">
        <f t="shared" si="6"/>
        <v>60721.031999999992</v>
      </c>
      <c r="N35" s="9">
        <f t="shared" si="6"/>
        <v>68287.1728</v>
      </c>
      <c r="O35" s="9">
        <f t="shared" si="6"/>
        <v>52637.38719999999</v>
      </c>
      <c r="P35" s="9">
        <f t="shared" si="6"/>
        <v>55595.216799999995</v>
      </c>
      <c r="Q35" s="9">
        <f t="shared" si="6"/>
        <v>63367.009400000003</v>
      </c>
    </row>
    <row r="37" spans="3:25" x14ac:dyDescent="0.2">
      <c r="C37" t="s">
        <v>11</v>
      </c>
      <c r="F37" s="10">
        <f>Days!F37*'Nights &amp; Weekends'!$E$53</f>
        <v>38.253697069016148</v>
      </c>
      <c r="G37" s="10">
        <f>Days!G37*'Nights &amp; Weekends'!$E$53</f>
        <v>40.400981709251099</v>
      </c>
      <c r="H37" s="10">
        <f>Days!H37*'Nights &amp; Weekends'!$E$53</f>
        <v>46.180452910425849</v>
      </c>
      <c r="I37" s="10">
        <f>Days!I37*'Nights &amp; Weekends'!$E$53</f>
        <v>46.017196886930989</v>
      </c>
      <c r="J37" s="10">
        <f>Days!J37*'Nights &amp; Weekends'!$E$53</f>
        <v>48.597057997063146</v>
      </c>
      <c r="K37" s="10">
        <f>Days!K37*'Nights &amp; Weekends'!$E$53</f>
        <v>54.675989944199713</v>
      </c>
      <c r="L37" s="10">
        <f>Days!L37*'Nights &amp; Weekends'!$E$53</f>
        <v>44.075802008810577</v>
      </c>
      <c r="M37" s="10">
        <f>Days!M37*'Nights &amp; Weekends'!$E$53</f>
        <v>46.365545726872242</v>
      </c>
      <c r="N37" s="10">
        <f>Days!N37*'Nights &amp; Weekends'!$E$53</f>
        <v>52.142921961820861</v>
      </c>
      <c r="O37" s="10">
        <f>Days!O37*'Nights &amp; Weekends'!$E$53</f>
        <v>40.193012252569744</v>
      </c>
      <c r="P37" s="10">
        <f>Days!P37*'Nights &amp; Weekends'!$E$53</f>
        <v>42.451560552129216</v>
      </c>
      <c r="Q37" s="10">
        <f>Days!Q37*'Nights &amp; Weekends'!$E$53</f>
        <v>48.385968998531581</v>
      </c>
    </row>
    <row r="38" spans="3:25" x14ac:dyDescent="0.2">
      <c r="Y38" s="4"/>
    </row>
    <row r="39" spans="3:25" x14ac:dyDescent="0.2">
      <c r="C39" t="s">
        <v>35</v>
      </c>
      <c r="F39" s="5">
        <v>38.71</v>
      </c>
      <c r="G39" s="5">
        <v>38.71</v>
      </c>
      <c r="H39" s="5">
        <v>38.71</v>
      </c>
      <c r="I39" s="5">
        <v>44.05</v>
      </c>
      <c r="J39" s="5">
        <v>44.05</v>
      </c>
      <c r="K39" s="5">
        <v>44.05</v>
      </c>
      <c r="L39" s="5">
        <v>42.45</v>
      </c>
      <c r="M39" s="5">
        <v>42.45</v>
      </c>
      <c r="N39" s="5">
        <v>42.45</v>
      </c>
      <c r="O39" s="5">
        <v>40.11</v>
      </c>
      <c r="P39" s="5">
        <v>40.11</v>
      </c>
      <c r="Q39" s="5">
        <v>40.11</v>
      </c>
      <c r="S39" s="4" t="s">
        <v>39</v>
      </c>
    </row>
    <row r="41" spans="3:25" x14ac:dyDescent="0.2">
      <c r="C41" t="s">
        <v>36</v>
      </c>
      <c r="F41" s="33">
        <f>F37-F39</f>
        <v>-0.45630293098385266</v>
      </c>
      <c r="G41" s="33">
        <f t="shared" ref="G41:Q41" si="7">G37-G39</f>
        <v>1.6909817092510977</v>
      </c>
      <c r="H41" s="33">
        <f t="shared" si="7"/>
        <v>7.4704529104258484</v>
      </c>
      <c r="I41" s="33">
        <f t="shared" si="7"/>
        <v>1.9671968869309922</v>
      </c>
      <c r="J41" s="33">
        <f t="shared" si="7"/>
        <v>4.5470579970631491</v>
      </c>
      <c r="K41" s="33">
        <f t="shared" si="7"/>
        <v>10.625989944199716</v>
      </c>
      <c r="L41" s="33">
        <f t="shared" si="7"/>
        <v>1.6258020088105738</v>
      </c>
      <c r="M41" s="33">
        <f t="shared" si="7"/>
        <v>3.9155457268722387</v>
      </c>
      <c r="N41" s="33">
        <f t="shared" si="7"/>
        <v>9.6929219618208577</v>
      </c>
      <c r="O41" s="33">
        <f t="shared" si="7"/>
        <v>8.301225256974476E-2</v>
      </c>
      <c r="P41" s="33">
        <f t="shared" si="7"/>
        <v>2.3415605521292164</v>
      </c>
      <c r="Q41" s="33">
        <f t="shared" si="7"/>
        <v>8.2759689985315816</v>
      </c>
    </row>
    <row r="45" spans="3:25" x14ac:dyDescent="0.2">
      <c r="C45" t="s">
        <v>32</v>
      </c>
      <c r="E45">
        <f>Days!E45</f>
        <v>27</v>
      </c>
      <c r="G45" s="4" t="s">
        <v>12</v>
      </c>
    </row>
    <row r="47" spans="3:25" x14ac:dyDescent="0.2">
      <c r="C47" t="s">
        <v>33</v>
      </c>
      <c r="E47">
        <f>Days!E47</f>
        <v>37.5</v>
      </c>
      <c r="G47" s="4" t="s">
        <v>12</v>
      </c>
    </row>
    <row r="49" spans="3:7" x14ac:dyDescent="0.2">
      <c r="C49" t="s">
        <v>34</v>
      </c>
      <c r="E49" s="8">
        <f>Days!E49</f>
        <v>0.20680000000000001</v>
      </c>
      <c r="G49" s="4" t="s">
        <v>7</v>
      </c>
    </row>
    <row r="51" spans="3:7" x14ac:dyDescent="0.2">
      <c r="C51" t="s">
        <v>8</v>
      </c>
      <c r="E51" s="8">
        <f>Days!E51</f>
        <v>5.0000000000000001E-3</v>
      </c>
      <c r="G51" s="4" t="s">
        <v>9</v>
      </c>
    </row>
    <row r="53" spans="3:7" x14ac:dyDescent="0.2">
      <c r="C53" t="s">
        <v>40</v>
      </c>
      <c r="E53" s="27">
        <v>1.3</v>
      </c>
      <c r="G53" s="4" t="s">
        <v>69</v>
      </c>
    </row>
    <row r="55" spans="3:7" x14ac:dyDescent="0.2">
      <c r="C55" t="s">
        <v>41</v>
      </c>
      <c r="E55" s="27">
        <v>1.6</v>
      </c>
      <c r="G55" s="4" t="s">
        <v>69</v>
      </c>
    </row>
    <row r="57" spans="3:7" x14ac:dyDescent="0.2">
      <c r="C57" t="s">
        <v>13</v>
      </c>
    </row>
  </sheetData>
  <mergeCells count="10">
    <mergeCell ref="C6:E7"/>
    <mergeCell ref="F6:H6"/>
    <mergeCell ref="I6:K6"/>
    <mergeCell ref="L6:N6"/>
    <mergeCell ref="O6:Q6"/>
    <mergeCell ref="C25:E26"/>
    <mergeCell ref="F25:H25"/>
    <mergeCell ref="I25:K25"/>
    <mergeCell ref="L25:N25"/>
    <mergeCell ref="O25:Q25"/>
  </mergeCells>
  <hyperlinks>
    <hyperlink ref="G47" r:id="rId1" xr:uid="{1CF0A5E6-932A-3B4F-A39F-5A838FA153C2}"/>
    <hyperlink ref="G49" r:id="rId2" xr:uid="{19437761-1A48-D741-ABF3-9272EF6B0643}"/>
    <hyperlink ref="S8" r:id="rId3" xr:uid="{9B3E07D1-5277-7743-9E52-522E59B20A17}"/>
    <hyperlink ref="G51" r:id="rId4" xr:uid="{A4DF337B-65C6-B440-80C2-E5B2BC2F35B2}"/>
    <hyperlink ref="G45" r:id="rId5" xr:uid="{3DC03C63-A68E-2641-91E0-C5A80BBBC0FB}"/>
    <hyperlink ref="S27" r:id="rId6" xr:uid="{30F72907-BFE9-604E-A434-18E92B97CD4E}"/>
    <hyperlink ref="S20" r:id="rId7" xr:uid="{A187D1FF-FCC4-9D4B-A63F-8F1A2C59CF9A}"/>
    <hyperlink ref="S39" r:id="rId8" xr:uid="{3AD25BD1-EBCC-2C43-AAB0-570A813E3093}"/>
    <hyperlink ref="G53" r:id="rId9" xr:uid="{04DAE236-61F9-4842-9A12-FDC71A216103}"/>
    <hyperlink ref="G55" r:id="rId10" xr:uid="{B4C65EF6-42D4-0D44-AB5E-CD46B469559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D536-6D4E-4D42-AA01-9FC379CC0A36}">
  <dimension ref="A1:Y55"/>
  <sheetViews>
    <sheetView showGridLines="0" workbookViewId="0">
      <selection activeCell="E55" sqref="E55"/>
    </sheetView>
  </sheetViews>
  <sheetFormatPr baseColWidth="10" defaultRowHeight="16" x14ac:dyDescent="0.2"/>
  <cols>
    <col min="1" max="2" width="2.5" customWidth="1"/>
    <col min="3" max="3" width="21.83203125" customWidth="1"/>
  </cols>
  <sheetData>
    <row r="1" spans="1:19" ht="22" x14ac:dyDescent="0.3">
      <c r="A1" s="34" t="s">
        <v>0</v>
      </c>
    </row>
    <row r="2" spans="1:19" x14ac:dyDescent="0.2">
      <c r="A2" s="1"/>
    </row>
    <row r="3" spans="1:19" ht="22" x14ac:dyDescent="0.3">
      <c r="A3" s="34" t="s">
        <v>44</v>
      </c>
    </row>
    <row r="4" spans="1:19" x14ac:dyDescent="0.2">
      <c r="A4" s="1"/>
    </row>
    <row r="5" spans="1:19" x14ac:dyDescent="0.2">
      <c r="A5" s="1"/>
    </row>
    <row r="6" spans="1:19" x14ac:dyDescent="0.2">
      <c r="C6" s="58" t="s">
        <v>27</v>
      </c>
      <c r="D6" s="59"/>
      <c r="E6" s="60"/>
      <c r="F6" s="64" t="s">
        <v>26</v>
      </c>
      <c r="G6" s="65"/>
      <c r="H6" s="66"/>
      <c r="I6" s="64" t="s">
        <v>28</v>
      </c>
      <c r="J6" s="65"/>
      <c r="K6" s="66"/>
      <c r="L6" s="64" t="s">
        <v>29</v>
      </c>
      <c r="M6" s="65"/>
      <c r="N6" s="66"/>
      <c r="O6" s="64" t="s">
        <v>30</v>
      </c>
      <c r="P6" s="65"/>
      <c r="Q6" s="66"/>
    </row>
    <row r="7" spans="1:19" x14ac:dyDescent="0.2">
      <c r="C7" s="61"/>
      <c r="D7" s="62"/>
      <c r="E7" s="63"/>
      <c r="F7" s="28" t="s">
        <v>1</v>
      </c>
      <c r="G7" s="29" t="s">
        <v>2</v>
      </c>
      <c r="H7" s="30" t="s">
        <v>3</v>
      </c>
      <c r="I7" s="28" t="s">
        <v>1</v>
      </c>
      <c r="J7" s="29" t="s">
        <v>2</v>
      </c>
      <c r="K7" s="30" t="s">
        <v>3</v>
      </c>
      <c r="L7" s="28" t="s">
        <v>1</v>
      </c>
      <c r="M7" s="29" t="s">
        <v>2</v>
      </c>
      <c r="N7" s="30" t="s">
        <v>3</v>
      </c>
      <c r="O7" s="28" t="s">
        <v>1</v>
      </c>
      <c r="P7" s="29" t="s">
        <v>2</v>
      </c>
      <c r="Q7" s="30" t="s">
        <v>3</v>
      </c>
    </row>
    <row r="8" spans="1:19" x14ac:dyDescent="0.2">
      <c r="C8" t="s">
        <v>38</v>
      </c>
      <c r="F8" s="31">
        <f>'Pay scales'!D7</f>
        <v>29969</v>
      </c>
      <c r="G8" s="31">
        <f>'Pay scales'!D8</f>
        <v>32324</v>
      </c>
      <c r="H8" s="31">
        <f>'Pay scales'!D9</f>
        <v>36483</v>
      </c>
      <c r="I8" s="31">
        <f>'Pay scales'!E7</f>
        <v>35965</v>
      </c>
      <c r="J8" s="31">
        <f>'Pay scales'!E8</f>
        <v>38789</v>
      </c>
      <c r="K8" s="31">
        <f>'Pay scales'!E9</f>
        <v>43780</v>
      </c>
      <c r="L8" s="31">
        <f>'Pay scales'!F7</f>
        <v>34521</v>
      </c>
      <c r="M8" s="31">
        <f>'Pay scales'!F8</f>
        <v>37173</v>
      </c>
      <c r="N8" s="31">
        <f>'Pay scales'!F9</f>
        <v>41955</v>
      </c>
      <c r="O8" s="31">
        <f>'Pay scales'!G7</f>
        <v>31469</v>
      </c>
      <c r="P8" s="31">
        <f>'Pay scales'!G8</f>
        <v>33940</v>
      </c>
      <c r="Q8" s="31">
        <f>'Pay scales'!G9</f>
        <v>38307</v>
      </c>
      <c r="S8" s="32" t="s">
        <v>4</v>
      </c>
    </row>
    <row r="10" spans="1:19" x14ac:dyDescent="0.2">
      <c r="C10" t="s">
        <v>5</v>
      </c>
      <c r="F10" s="7">
        <v>3744.73</v>
      </c>
      <c r="G10" s="31">
        <v>4097.9799999999996</v>
      </c>
      <c r="H10" s="31">
        <v>4721.83</v>
      </c>
      <c r="I10" s="31">
        <v>4644.13</v>
      </c>
      <c r="J10" s="31">
        <v>5067.7299999999996</v>
      </c>
      <c r="K10" s="31">
        <v>5816.38</v>
      </c>
      <c r="L10" s="31">
        <v>4427.53</v>
      </c>
      <c r="M10" s="31">
        <v>4825.33</v>
      </c>
      <c r="N10" s="31">
        <v>5542.63</v>
      </c>
      <c r="O10" s="31">
        <v>3969.73</v>
      </c>
      <c r="P10" s="31">
        <v>4340.38</v>
      </c>
      <c r="Q10" s="31">
        <v>4995.43</v>
      </c>
      <c r="S10" s="32" t="s">
        <v>31</v>
      </c>
    </row>
    <row r="12" spans="1:19" x14ac:dyDescent="0.2">
      <c r="C12" t="s">
        <v>6</v>
      </c>
      <c r="D12" s="8"/>
      <c r="F12" s="7">
        <f t="shared" ref="F12:Q12" si="0">$E49*F8</f>
        <v>6197.5892000000003</v>
      </c>
      <c r="G12" s="7">
        <f t="shared" si="0"/>
        <v>6684.6032000000005</v>
      </c>
      <c r="H12" s="7">
        <f t="shared" si="0"/>
        <v>7544.6844000000001</v>
      </c>
      <c r="I12" s="7">
        <f t="shared" si="0"/>
        <v>7437.5620000000008</v>
      </c>
      <c r="J12" s="7">
        <f t="shared" si="0"/>
        <v>8021.5652</v>
      </c>
      <c r="K12" s="7">
        <f t="shared" si="0"/>
        <v>9053.7039999999997</v>
      </c>
      <c r="L12" s="7">
        <f t="shared" si="0"/>
        <v>7138.9428000000007</v>
      </c>
      <c r="M12" s="7">
        <f t="shared" si="0"/>
        <v>7687.3764000000001</v>
      </c>
      <c r="N12" s="7">
        <f t="shared" si="0"/>
        <v>8676.2939999999999</v>
      </c>
      <c r="O12" s="7">
        <f t="shared" si="0"/>
        <v>6507.7892000000002</v>
      </c>
      <c r="P12" s="7">
        <f t="shared" si="0"/>
        <v>7018.7920000000004</v>
      </c>
      <c r="Q12" s="7">
        <f t="shared" si="0"/>
        <v>7921.8876</v>
      </c>
    </row>
    <row r="14" spans="1:19" x14ac:dyDescent="0.2">
      <c r="C14" t="s">
        <v>8</v>
      </c>
      <c r="D14" s="8">
        <v>5.0000000000000001E-3</v>
      </c>
      <c r="F14" s="7">
        <f t="shared" ref="F14:Q14" si="1">$E51*F8</f>
        <v>149.845</v>
      </c>
      <c r="G14" s="7">
        <f t="shared" si="1"/>
        <v>161.62</v>
      </c>
      <c r="H14" s="7">
        <f t="shared" si="1"/>
        <v>182.41499999999999</v>
      </c>
      <c r="I14" s="7">
        <f t="shared" si="1"/>
        <v>179.82500000000002</v>
      </c>
      <c r="J14" s="7">
        <f t="shared" si="1"/>
        <v>193.94499999999999</v>
      </c>
      <c r="K14" s="7">
        <f t="shared" si="1"/>
        <v>218.9</v>
      </c>
      <c r="L14" s="7">
        <f t="shared" si="1"/>
        <v>172.60499999999999</v>
      </c>
      <c r="M14" s="7">
        <f t="shared" si="1"/>
        <v>185.86500000000001</v>
      </c>
      <c r="N14" s="7">
        <f t="shared" si="1"/>
        <v>209.77500000000001</v>
      </c>
      <c r="O14" s="7">
        <f t="shared" si="1"/>
        <v>157.345</v>
      </c>
      <c r="P14" s="7">
        <f t="shared" si="1"/>
        <v>169.70000000000002</v>
      </c>
      <c r="Q14" s="7">
        <f t="shared" si="1"/>
        <v>191.535</v>
      </c>
    </row>
    <row r="16" spans="1:19" x14ac:dyDescent="0.2">
      <c r="C16" t="s">
        <v>10</v>
      </c>
      <c r="F16" s="9">
        <f>SUM(F8:F15)</f>
        <v>40061.164200000007</v>
      </c>
      <c r="G16" s="9">
        <f>SUM(G8:G15)</f>
        <v>43268.203199999996</v>
      </c>
      <c r="H16" s="9">
        <f>SUM(H8:H15)</f>
        <v>48931.929400000001</v>
      </c>
      <c r="I16" s="9">
        <f t="shared" ref="I16:Q16" si="2">SUM(I8:I15)</f>
        <v>48226.516999999993</v>
      </c>
      <c r="J16" s="9">
        <f t="shared" si="2"/>
        <v>52072.240199999993</v>
      </c>
      <c r="K16" s="9">
        <f t="shared" si="2"/>
        <v>58868.983999999997</v>
      </c>
      <c r="L16" s="9">
        <f t="shared" si="2"/>
        <v>46260.077800000006</v>
      </c>
      <c r="M16" s="9">
        <f t="shared" si="2"/>
        <v>49871.571400000001</v>
      </c>
      <c r="N16" s="9">
        <f t="shared" si="2"/>
        <v>56383.699000000001</v>
      </c>
      <c r="O16" s="9">
        <f t="shared" si="2"/>
        <v>42103.864200000004</v>
      </c>
      <c r="P16" s="9">
        <f t="shared" si="2"/>
        <v>45468.871999999996</v>
      </c>
      <c r="Q16" s="9">
        <f t="shared" si="2"/>
        <v>51415.852600000006</v>
      </c>
    </row>
    <row r="18" spans="3:25" x14ac:dyDescent="0.2">
      <c r="C18" t="s">
        <v>11</v>
      </c>
      <c r="F18" s="10">
        <f>Days!F18*'Bank Hol'!$E$55</f>
        <v>37.649258572687231</v>
      </c>
      <c r="G18" s="10">
        <f>Days!G18*'Bank Hol'!$E$55</f>
        <v>40.663215929515417</v>
      </c>
      <c r="H18" s="10">
        <f>Days!H18*'Bank Hol'!$E$55</f>
        <v>45.985954208516887</v>
      </c>
      <c r="I18" s="10">
        <f>Days!I18*'Bank Hol'!$E$55</f>
        <v>45.323011571218792</v>
      </c>
      <c r="J18" s="10">
        <f>Days!J18*'Bank Hol'!$E$55</f>
        <v>48.937200775330396</v>
      </c>
      <c r="K18" s="10">
        <f>Days!K18*'Bank Hol'!$E$55</f>
        <v>55.324742672540381</v>
      </c>
      <c r="L18" s="10">
        <f>Days!L18*'Bank Hol'!$E$55</f>
        <v>43.474962983847291</v>
      </c>
      <c r="M18" s="10">
        <f>Days!M18*'Bank Hol'!$E$55</f>
        <v>46.869024516886938</v>
      </c>
      <c r="N18" s="10">
        <f>Days!N18*'Bank Hol'!$E$55</f>
        <v>52.989085697503675</v>
      </c>
      <c r="O18" s="10">
        <f>Days!O18*'Bank Hol'!$E$55</f>
        <v>39.568976634361242</v>
      </c>
      <c r="P18" s="10">
        <f>Days!P18*'Bank Hol'!$E$55</f>
        <v>42.731392187958882</v>
      </c>
      <c r="Q18" s="10">
        <f>Days!Q18*'Bank Hol'!$E$55</f>
        <v>48.320331371512488</v>
      </c>
    </row>
    <row r="19" spans="3:25" x14ac:dyDescent="0.2">
      <c r="Y19" s="4"/>
    </row>
    <row r="20" spans="3:25" x14ac:dyDescent="0.2">
      <c r="C20" t="s">
        <v>35</v>
      </c>
      <c r="F20" s="5">
        <v>38.51</v>
      </c>
      <c r="G20" s="5">
        <v>38.51</v>
      </c>
      <c r="H20" s="5">
        <v>38.51</v>
      </c>
      <c r="I20" s="5">
        <v>43.32</v>
      </c>
      <c r="J20" s="5">
        <v>43.32</v>
      </c>
      <c r="K20" s="5">
        <v>43.32</v>
      </c>
      <c r="L20" s="5">
        <v>42.11</v>
      </c>
      <c r="M20" s="5">
        <v>42.11</v>
      </c>
      <c r="N20" s="5">
        <v>42.11</v>
      </c>
      <c r="O20" s="5">
        <v>39.71</v>
      </c>
      <c r="P20" s="5">
        <v>39.71</v>
      </c>
      <c r="Q20" s="5">
        <v>39.71</v>
      </c>
      <c r="S20" s="4" t="s">
        <v>39</v>
      </c>
    </row>
    <row r="22" spans="3:25" x14ac:dyDescent="0.2">
      <c r="C22" t="s">
        <v>36</v>
      </c>
      <c r="F22" s="33">
        <f>F18-F20</f>
        <v>-0.86074142731276737</v>
      </c>
      <c r="G22" s="33">
        <f t="shared" ref="G22:Q22" si="3">G18-G20</f>
        <v>2.1532159295154187</v>
      </c>
      <c r="H22" s="33">
        <f t="shared" si="3"/>
        <v>7.4759542085168889</v>
      </c>
      <c r="I22" s="33">
        <f t="shared" si="3"/>
        <v>2.0030115712187921</v>
      </c>
      <c r="J22" s="33">
        <f t="shared" si="3"/>
        <v>5.6172007753303959</v>
      </c>
      <c r="K22" s="33">
        <f t="shared" si="3"/>
        <v>12.004742672540381</v>
      </c>
      <c r="L22" s="33">
        <f t="shared" si="3"/>
        <v>1.3649629838472919</v>
      </c>
      <c r="M22" s="33">
        <f t="shared" si="3"/>
        <v>4.7590245168869387</v>
      </c>
      <c r="N22" s="33">
        <f t="shared" si="3"/>
        <v>10.879085697503676</v>
      </c>
      <c r="O22" s="33">
        <f t="shared" si="3"/>
        <v>-0.14102336563875895</v>
      </c>
      <c r="P22" s="33">
        <f t="shared" si="3"/>
        <v>3.021392187958881</v>
      </c>
      <c r="Q22" s="33">
        <f t="shared" si="3"/>
        <v>8.610331371512487</v>
      </c>
    </row>
    <row r="25" spans="3:25" x14ac:dyDescent="0.2">
      <c r="C25" s="58" t="s">
        <v>37</v>
      </c>
      <c r="D25" s="59"/>
      <c r="E25" s="60"/>
      <c r="F25" s="64" t="s">
        <v>26</v>
      </c>
      <c r="G25" s="65"/>
      <c r="H25" s="66"/>
      <c r="I25" s="64" t="s">
        <v>28</v>
      </c>
      <c r="J25" s="65"/>
      <c r="K25" s="66"/>
      <c r="L25" s="64" t="s">
        <v>29</v>
      </c>
      <c r="M25" s="65"/>
      <c r="N25" s="66"/>
      <c r="O25" s="64" t="s">
        <v>30</v>
      </c>
      <c r="P25" s="65"/>
      <c r="Q25" s="66"/>
    </row>
    <row r="26" spans="3:25" x14ac:dyDescent="0.2">
      <c r="C26" s="61"/>
      <c r="D26" s="62"/>
      <c r="E26" s="63"/>
      <c r="F26" s="28" t="s">
        <v>1</v>
      </c>
      <c r="G26" s="29" t="s">
        <v>2</v>
      </c>
      <c r="H26" s="30" t="s">
        <v>3</v>
      </c>
      <c r="I26" s="28" t="s">
        <v>1</v>
      </c>
      <c r="J26" s="29" t="s">
        <v>2</v>
      </c>
      <c r="K26" s="30" t="s">
        <v>3</v>
      </c>
      <c r="L26" s="28" t="s">
        <v>1</v>
      </c>
      <c r="M26" s="29" t="s">
        <v>2</v>
      </c>
      <c r="N26" s="30" t="s">
        <v>3</v>
      </c>
      <c r="O26" s="28" t="s">
        <v>1</v>
      </c>
      <c r="P26" s="29" t="s">
        <v>2</v>
      </c>
      <c r="Q26" s="30" t="s">
        <v>3</v>
      </c>
    </row>
    <row r="27" spans="3:25" x14ac:dyDescent="0.2">
      <c r="C27" t="s">
        <v>38</v>
      </c>
      <c r="F27" s="31">
        <f>'Pay scales'!D14</f>
        <v>37339</v>
      </c>
      <c r="G27" s="31">
        <f>'Pay scales'!D15</f>
        <v>39404</v>
      </c>
      <c r="H27" s="31">
        <f>'Pay scales'!D16</f>
        <v>44962</v>
      </c>
      <c r="I27" s="31">
        <f>'Pay scales'!E14</f>
        <v>44805</v>
      </c>
      <c r="J27" s="31">
        <f>'Pay scales'!E15</f>
        <v>47286</v>
      </c>
      <c r="K27" s="31">
        <f>'Pay scales'!E16</f>
        <v>53132</v>
      </c>
      <c r="L27" s="31">
        <f>'Pay scales'!F14</f>
        <v>42938</v>
      </c>
      <c r="M27" s="31">
        <f>'Pay scales'!F15</f>
        <v>45140</v>
      </c>
      <c r="N27" s="31">
        <f>'Pay scales'!F16</f>
        <v>50696</v>
      </c>
      <c r="O27" s="31">
        <f>'Pay scales'!G14</f>
        <v>39204</v>
      </c>
      <c r="P27" s="31">
        <f>'Pay scales'!G15</f>
        <v>41376</v>
      </c>
      <c r="Q27" s="31">
        <f>'Pay scales'!G16</f>
        <v>47083</v>
      </c>
      <c r="S27" s="32" t="s">
        <v>4</v>
      </c>
    </row>
    <row r="29" spans="3:25" x14ac:dyDescent="0.2">
      <c r="C29" t="s">
        <v>5</v>
      </c>
      <c r="F29" s="7">
        <v>4850.2299999999996</v>
      </c>
      <c r="G29" s="31">
        <v>5159.9799999999996</v>
      </c>
      <c r="H29" s="31">
        <v>5993.68</v>
      </c>
      <c r="I29" s="31">
        <v>5970.13</v>
      </c>
      <c r="J29" s="31">
        <v>6342.28</v>
      </c>
      <c r="K29" s="31">
        <v>7219.16</v>
      </c>
      <c r="L29" s="31">
        <v>5690.08</v>
      </c>
      <c r="M29" s="31">
        <v>6020.38</v>
      </c>
      <c r="N29" s="31">
        <v>6853.76</v>
      </c>
      <c r="O29" s="31">
        <v>5129.9799999999996</v>
      </c>
      <c r="P29" s="31">
        <v>5455.78</v>
      </c>
      <c r="Q29" s="31">
        <v>6311.83</v>
      </c>
      <c r="S29" s="32" t="s">
        <v>31</v>
      </c>
    </row>
    <row r="31" spans="3:25" x14ac:dyDescent="0.2">
      <c r="C31" t="s">
        <v>6</v>
      </c>
      <c r="D31" s="8"/>
      <c r="F31" s="7">
        <f t="shared" ref="F31:Q31" si="4">$E49*F27</f>
        <v>7721.7052000000003</v>
      </c>
      <c r="G31" s="7">
        <f t="shared" si="4"/>
        <v>8148.7472000000007</v>
      </c>
      <c r="H31" s="7">
        <f t="shared" si="4"/>
        <v>9298.1416000000008</v>
      </c>
      <c r="I31" s="7">
        <f t="shared" si="4"/>
        <v>9265.6740000000009</v>
      </c>
      <c r="J31" s="7">
        <f t="shared" si="4"/>
        <v>9778.7448000000004</v>
      </c>
      <c r="K31" s="7">
        <f t="shared" si="4"/>
        <v>10987.697600000001</v>
      </c>
      <c r="L31" s="7">
        <f t="shared" si="4"/>
        <v>8879.5784000000003</v>
      </c>
      <c r="M31" s="7">
        <f t="shared" si="4"/>
        <v>9334.9520000000011</v>
      </c>
      <c r="N31" s="7">
        <f t="shared" si="4"/>
        <v>10483.9328</v>
      </c>
      <c r="O31" s="7">
        <f t="shared" si="4"/>
        <v>8107.3872000000001</v>
      </c>
      <c r="P31" s="7">
        <f t="shared" si="4"/>
        <v>8556.5568000000003</v>
      </c>
      <c r="Q31" s="7">
        <f t="shared" si="4"/>
        <v>9736.7644</v>
      </c>
    </row>
    <row r="33" spans="3:25" x14ac:dyDescent="0.2">
      <c r="C33" t="s">
        <v>8</v>
      </c>
      <c r="D33" s="8">
        <v>5.0000000000000001E-3</v>
      </c>
      <c r="F33" s="7">
        <f t="shared" ref="F33:Q33" si="5">$E51*F27</f>
        <v>186.69499999999999</v>
      </c>
      <c r="G33" s="7">
        <f t="shared" si="5"/>
        <v>197.02</v>
      </c>
      <c r="H33" s="7">
        <f t="shared" si="5"/>
        <v>224.81</v>
      </c>
      <c r="I33" s="7">
        <f t="shared" si="5"/>
        <v>224.02500000000001</v>
      </c>
      <c r="J33" s="7">
        <f t="shared" si="5"/>
        <v>236.43</v>
      </c>
      <c r="K33" s="7">
        <f t="shared" si="5"/>
        <v>265.66000000000003</v>
      </c>
      <c r="L33" s="7">
        <f t="shared" si="5"/>
        <v>214.69</v>
      </c>
      <c r="M33" s="7">
        <f t="shared" si="5"/>
        <v>225.70000000000002</v>
      </c>
      <c r="N33" s="7">
        <f t="shared" si="5"/>
        <v>253.48000000000002</v>
      </c>
      <c r="O33" s="7">
        <f t="shared" si="5"/>
        <v>196.02</v>
      </c>
      <c r="P33" s="7">
        <f t="shared" si="5"/>
        <v>206.88</v>
      </c>
      <c r="Q33" s="7">
        <f t="shared" si="5"/>
        <v>235.41499999999999</v>
      </c>
    </row>
    <row r="35" spans="3:25" x14ac:dyDescent="0.2">
      <c r="C35" t="s">
        <v>10</v>
      </c>
      <c r="F35" s="9">
        <f>SUM(F27:F34)</f>
        <v>50097.630199999992</v>
      </c>
      <c r="G35" s="9">
        <f>SUM(G27:G34)</f>
        <v>52909.747199999991</v>
      </c>
      <c r="H35" s="9">
        <f>SUM(H27:H34)</f>
        <v>60478.631600000001</v>
      </c>
      <c r="I35" s="9">
        <f t="shared" ref="I35:Q35" si="6">SUM(I27:I34)</f>
        <v>60264.828999999998</v>
      </c>
      <c r="J35" s="9">
        <f t="shared" si="6"/>
        <v>63643.4548</v>
      </c>
      <c r="K35" s="9">
        <f t="shared" si="6"/>
        <v>71604.517600000006</v>
      </c>
      <c r="L35" s="9">
        <f t="shared" si="6"/>
        <v>57722.348400000003</v>
      </c>
      <c r="M35" s="9">
        <f t="shared" si="6"/>
        <v>60721.031999999992</v>
      </c>
      <c r="N35" s="9">
        <f t="shared" si="6"/>
        <v>68287.1728</v>
      </c>
      <c r="O35" s="9">
        <f t="shared" si="6"/>
        <v>52637.38719999999</v>
      </c>
      <c r="P35" s="9">
        <f t="shared" si="6"/>
        <v>55595.216799999995</v>
      </c>
      <c r="Q35" s="9">
        <f t="shared" si="6"/>
        <v>63367.009400000003</v>
      </c>
    </row>
    <row r="37" spans="3:25" x14ac:dyDescent="0.2">
      <c r="C37" t="s">
        <v>11</v>
      </c>
      <c r="F37" s="10">
        <f>Days!F37*$E$55</f>
        <v>47.081473315712181</v>
      </c>
      <c r="G37" s="10">
        <f>Days!G37*$E$55</f>
        <v>49.724285180616739</v>
      </c>
      <c r="H37" s="10">
        <f>Days!H37*$E$55</f>
        <v>56.837480505139503</v>
      </c>
      <c r="I37" s="10">
        <f>Days!I37*$E$55</f>
        <v>56.636550014684296</v>
      </c>
      <c r="J37" s="10">
        <f>Days!J37*$E$55</f>
        <v>59.811763688693105</v>
      </c>
      <c r="K37" s="10">
        <f>Days!K37*$E$55</f>
        <v>67.293526085168878</v>
      </c>
      <c r="L37" s="10">
        <f>Days!L37*$E$55</f>
        <v>54.247140933920711</v>
      </c>
      <c r="M37" s="10">
        <f>Days!M37*$E$55</f>
        <v>57.065287048458146</v>
      </c>
      <c r="N37" s="10">
        <f>Days!N37*$E$55</f>
        <v>64.175903953010291</v>
      </c>
      <c r="O37" s="10">
        <f>Days!O37*$E$55</f>
        <v>49.468322772393527</v>
      </c>
      <c r="P37" s="10">
        <f>Days!P37*$E$55</f>
        <v>52.248074525697497</v>
      </c>
      <c r="Q37" s="10">
        <f>Days!Q37*$E$55</f>
        <v>59.551961844346557</v>
      </c>
    </row>
    <row r="38" spans="3:25" x14ac:dyDescent="0.2">
      <c r="Y38" s="4"/>
    </row>
    <row r="39" spans="3:25" x14ac:dyDescent="0.2">
      <c r="C39" t="s">
        <v>35</v>
      </c>
      <c r="F39" s="5">
        <v>47.65</v>
      </c>
      <c r="G39" s="5">
        <v>47.65</v>
      </c>
      <c r="H39" s="5">
        <v>47.65</v>
      </c>
      <c r="I39" s="5">
        <v>52.98</v>
      </c>
      <c r="J39" s="5">
        <v>52.98</v>
      </c>
      <c r="K39" s="5">
        <v>52.98</v>
      </c>
      <c r="L39" s="5">
        <v>51.38</v>
      </c>
      <c r="M39" s="5">
        <v>51.38</v>
      </c>
      <c r="N39" s="5">
        <v>51.38</v>
      </c>
      <c r="O39" s="5">
        <v>49.04</v>
      </c>
      <c r="P39" s="5">
        <v>49.04</v>
      </c>
      <c r="Q39" s="5">
        <v>49.04</v>
      </c>
      <c r="S39" s="4" t="s">
        <v>39</v>
      </c>
    </row>
    <row r="41" spans="3:25" x14ac:dyDescent="0.2">
      <c r="C41" t="s">
        <v>36</v>
      </c>
      <c r="F41" s="33">
        <f>F37-F39</f>
        <v>-0.56852668428781783</v>
      </c>
      <c r="G41" s="33">
        <f t="shared" ref="G41:Q41" si="7">G37-G39</f>
        <v>2.0742851806167408</v>
      </c>
      <c r="H41" s="33">
        <f t="shared" si="7"/>
        <v>9.1874805051395043</v>
      </c>
      <c r="I41" s="33">
        <f t="shared" si="7"/>
        <v>3.6565500146842993</v>
      </c>
      <c r="J41" s="33">
        <f t="shared" si="7"/>
        <v>6.8317636886931083</v>
      </c>
      <c r="K41" s="33">
        <f t="shared" si="7"/>
        <v>14.313526085168881</v>
      </c>
      <c r="L41" s="33">
        <f t="shared" si="7"/>
        <v>2.8671409339207088</v>
      </c>
      <c r="M41" s="33">
        <f t="shared" si="7"/>
        <v>5.685287048458143</v>
      </c>
      <c r="N41" s="33">
        <f t="shared" si="7"/>
        <v>12.795903953010288</v>
      </c>
      <c r="O41" s="33">
        <f t="shared" si="7"/>
        <v>0.42832277239352834</v>
      </c>
      <c r="P41" s="33">
        <f t="shared" si="7"/>
        <v>3.2080745256974978</v>
      </c>
      <c r="Q41" s="33">
        <f t="shared" si="7"/>
        <v>10.511961844346558</v>
      </c>
    </row>
    <row r="45" spans="3:25" x14ac:dyDescent="0.2">
      <c r="C45" t="s">
        <v>32</v>
      </c>
      <c r="E45">
        <f>Days!E45</f>
        <v>27</v>
      </c>
      <c r="G45" s="4" t="s">
        <v>12</v>
      </c>
    </row>
    <row r="47" spans="3:25" x14ac:dyDescent="0.2">
      <c r="C47" t="s">
        <v>33</v>
      </c>
      <c r="E47">
        <f>Days!E47</f>
        <v>37.5</v>
      </c>
      <c r="G47" s="4" t="s">
        <v>12</v>
      </c>
    </row>
    <row r="49" spans="3:7" x14ac:dyDescent="0.2">
      <c r="C49" t="s">
        <v>34</v>
      </c>
      <c r="E49" s="8">
        <f>Days!E49</f>
        <v>0.20680000000000001</v>
      </c>
      <c r="G49" s="4" t="s">
        <v>7</v>
      </c>
    </row>
    <row r="51" spans="3:7" x14ac:dyDescent="0.2">
      <c r="C51" t="s">
        <v>8</v>
      </c>
      <c r="E51" s="8">
        <f>Days!E51</f>
        <v>5.0000000000000001E-3</v>
      </c>
      <c r="G51" s="4" t="s">
        <v>9</v>
      </c>
    </row>
    <row r="53" spans="3:7" x14ac:dyDescent="0.2">
      <c r="C53" t="s">
        <v>67</v>
      </c>
      <c r="E53">
        <f>'Nights &amp; Weekends'!E53</f>
        <v>1.3</v>
      </c>
    </row>
    <row r="55" spans="3:7" x14ac:dyDescent="0.2">
      <c r="C55" t="s">
        <v>68</v>
      </c>
      <c r="E55">
        <f>'Nights &amp; Weekends'!E55</f>
        <v>1.6</v>
      </c>
    </row>
  </sheetData>
  <mergeCells count="10">
    <mergeCell ref="C6:E7"/>
    <mergeCell ref="F6:H6"/>
    <mergeCell ref="I6:K6"/>
    <mergeCell ref="L6:N6"/>
    <mergeCell ref="O6:Q6"/>
    <mergeCell ref="C25:E26"/>
    <mergeCell ref="F25:H25"/>
    <mergeCell ref="I25:K25"/>
    <mergeCell ref="L25:N25"/>
    <mergeCell ref="O25:Q25"/>
  </mergeCells>
  <hyperlinks>
    <hyperlink ref="G47" r:id="rId1" xr:uid="{7366FBCE-A009-394F-872F-71344579B338}"/>
    <hyperlink ref="G49" r:id="rId2" xr:uid="{2D9C1C58-DDE1-E541-8F15-3C55949C9E53}"/>
    <hyperlink ref="S8" r:id="rId3" xr:uid="{FAA8A609-A9A9-E840-975E-B528B6AB707F}"/>
    <hyperlink ref="G51" r:id="rId4" xr:uid="{6E0E3266-52F8-844D-80F4-5D568B77FB2B}"/>
    <hyperlink ref="G45" r:id="rId5" xr:uid="{4AB96969-BDE3-FD43-B411-5B1B58A3935E}"/>
    <hyperlink ref="S27" r:id="rId6" xr:uid="{B8A6A511-B50D-A848-91D5-529906A5B175}"/>
    <hyperlink ref="S20" r:id="rId7" xr:uid="{E250019D-EF38-5740-908B-A85FC20FB657}"/>
    <hyperlink ref="S39" r:id="rId8" xr:uid="{1CCB6945-B18D-8649-9F61-627C7BA59B0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FBD0-5475-5E40-ABC0-BC46CDFBD900}">
  <dimension ref="A1:G16"/>
  <sheetViews>
    <sheetView showGridLines="0" workbookViewId="0">
      <selection activeCell="D14" sqref="D14"/>
    </sheetView>
  </sheetViews>
  <sheetFormatPr baseColWidth="10" defaultRowHeight="16" x14ac:dyDescent="0.2"/>
  <cols>
    <col min="3" max="3" width="13.83203125" style="2" customWidth="1"/>
    <col min="4" max="7" width="16.6640625" style="21" customWidth="1"/>
  </cols>
  <sheetData>
    <row r="1" spans="1:7" x14ac:dyDescent="0.2">
      <c r="A1" s="4" t="s">
        <v>4</v>
      </c>
    </row>
    <row r="5" spans="1:7" s="11" customFormat="1" ht="17" x14ac:dyDescent="0.25">
      <c r="C5" s="22" t="s">
        <v>21</v>
      </c>
      <c r="D5" s="16"/>
      <c r="E5" s="16"/>
      <c r="F5" s="16"/>
      <c r="G5" s="16"/>
    </row>
    <row r="6" spans="1:7" s="12" customFormat="1" ht="54" x14ac:dyDescent="0.25">
      <c r="C6" s="14" t="s">
        <v>14</v>
      </c>
      <c r="D6" s="17" t="s">
        <v>15</v>
      </c>
      <c r="E6" s="17" t="s">
        <v>16</v>
      </c>
      <c r="F6" s="17" t="s">
        <v>24</v>
      </c>
      <c r="G6" s="17" t="s">
        <v>17</v>
      </c>
    </row>
    <row r="7" spans="1:7" s="11" customFormat="1" ht="17" x14ac:dyDescent="0.25">
      <c r="C7" s="23" t="s">
        <v>18</v>
      </c>
      <c r="D7" s="18">
        <v>29969</v>
      </c>
      <c r="E7" s="18">
        <v>35965</v>
      </c>
      <c r="F7" s="18">
        <v>34521</v>
      </c>
      <c r="G7" s="18">
        <v>31469</v>
      </c>
    </row>
    <row r="8" spans="1:7" s="11" customFormat="1" ht="17" x14ac:dyDescent="0.25">
      <c r="C8" s="24" t="s">
        <v>20</v>
      </c>
      <c r="D8" s="18">
        <v>32324</v>
      </c>
      <c r="E8" s="18">
        <v>38789</v>
      </c>
      <c r="F8" s="18">
        <v>37173</v>
      </c>
      <c r="G8" s="18">
        <v>33940</v>
      </c>
    </row>
    <row r="9" spans="1:7" s="11" customFormat="1" ht="17" x14ac:dyDescent="0.25">
      <c r="C9" s="23" t="s">
        <v>19</v>
      </c>
      <c r="D9" s="18">
        <v>36483</v>
      </c>
      <c r="E9" s="18">
        <v>43780</v>
      </c>
      <c r="F9" s="18">
        <v>41955</v>
      </c>
      <c r="G9" s="18">
        <v>38307</v>
      </c>
    </row>
    <row r="10" spans="1:7" s="11" customFormat="1" ht="17" x14ac:dyDescent="0.25">
      <c r="C10" s="13"/>
      <c r="D10" s="16"/>
      <c r="E10" s="16"/>
      <c r="F10" s="16"/>
      <c r="G10" s="16"/>
    </row>
    <row r="11" spans="1:7" s="11" customFormat="1" ht="17" x14ac:dyDescent="0.25">
      <c r="C11" s="13"/>
      <c r="D11" s="16"/>
      <c r="E11" s="16"/>
      <c r="F11" s="16"/>
      <c r="G11" s="16"/>
    </row>
    <row r="12" spans="1:7" s="11" customFormat="1" ht="17" x14ac:dyDescent="0.25">
      <c r="C12" s="13"/>
      <c r="D12" s="16"/>
      <c r="E12" s="16"/>
      <c r="F12" s="16"/>
      <c r="G12" s="16"/>
    </row>
    <row r="13" spans="1:7" s="12" customFormat="1" ht="54" x14ac:dyDescent="0.25">
      <c r="C13" s="15" t="s">
        <v>14</v>
      </c>
      <c r="D13" s="19" t="s">
        <v>15</v>
      </c>
      <c r="E13" s="19" t="s">
        <v>16</v>
      </c>
      <c r="F13" s="19" t="s">
        <v>25</v>
      </c>
      <c r="G13" s="19" t="s">
        <v>17</v>
      </c>
    </row>
    <row r="14" spans="1:7" s="11" customFormat="1" ht="17" x14ac:dyDescent="0.25">
      <c r="C14" s="13" t="s">
        <v>18</v>
      </c>
      <c r="D14" s="20">
        <v>37339</v>
      </c>
      <c r="E14" s="20">
        <v>44805</v>
      </c>
      <c r="F14" s="20">
        <v>42938</v>
      </c>
      <c r="G14" s="20">
        <v>39204</v>
      </c>
    </row>
    <row r="15" spans="1:7" s="11" customFormat="1" ht="17" x14ac:dyDescent="0.25">
      <c r="C15" s="25" t="s">
        <v>23</v>
      </c>
      <c r="D15" s="20">
        <v>39404</v>
      </c>
      <c r="E15" s="20">
        <v>47286</v>
      </c>
      <c r="F15" s="20">
        <v>45140</v>
      </c>
      <c r="G15" s="20">
        <v>41376</v>
      </c>
    </row>
    <row r="16" spans="1:7" s="11" customFormat="1" ht="17" x14ac:dyDescent="0.25">
      <c r="C16" s="13" t="s">
        <v>22</v>
      </c>
      <c r="D16" s="20">
        <v>44962</v>
      </c>
      <c r="E16" s="20">
        <v>53132</v>
      </c>
      <c r="F16" s="20">
        <v>50696</v>
      </c>
      <c r="G16" s="20">
        <v>47083</v>
      </c>
    </row>
  </sheetData>
  <hyperlinks>
    <hyperlink ref="A1" r:id="rId1" xr:uid="{B0EDECDD-1CA4-DE41-A8CF-DAC8276F61C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81CF-D4C0-9A4B-9D6C-ADA064A70006}">
  <dimension ref="A1:E34"/>
  <sheetViews>
    <sheetView showGridLines="0" tabSelected="1" workbookViewId="0">
      <selection activeCell="G40" sqref="G40"/>
    </sheetView>
  </sheetViews>
  <sheetFormatPr baseColWidth="10" defaultRowHeight="16" x14ac:dyDescent="0.2"/>
  <cols>
    <col min="1" max="2" width="2.5" customWidth="1"/>
    <col min="3" max="3" width="21.6640625" bestFit="1" customWidth="1"/>
    <col min="5" max="5" width="14" bestFit="1" customWidth="1"/>
  </cols>
  <sheetData>
    <row r="1" spans="1:5" ht="22" x14ac:dyDescent="0.3">
      <c r="A1" s="35" t="s">
        <v>85</v>
      </c>
    </row>
    <row r="6" spans="1:5" x14ac:dyDescent="0.2">
      <c r="C6" t="s">
        <v>77</v>
      </c>
      <c r="E6" s="7">
        <f>Calculator!E6/(1+Calculator!E10)</f>
        <v>2500000000</v>
      </c>
    </row>
    <row r="8" spans="1:5" x14ac:dyDescent="0.2">
      <c r="C8" t="s">
        <v>78</v>
      </c>
      <c r="E8" s="37">
        <v>0.13</v>
      </c>
    </row>
    <row r="10" spans="1:5" x14ac:dyDescent="0.2">
      <c r="C10" t="s">
        <v>70</v>
      </c>
      <c r="E10" s="7">
        <f>E6*(1-E8)</f>
        <v>2175000000</v>
      </c>
    </row>
    <row r="12" spans="1:5" x14ac:dyDescent="0.2">
      <c r="C12" t="s">
        <v>71</v>
      </c>
      <c r="E12" s="7">
        <f>E6-E10</f>
        <v>325000000</v>
      </c>
    </row>
    <row r="14" spans="1:5" x14ac:dyDescent="0.2">
      <c r="C14" t="s">
        <v>72</v>
      </c>
      <c r="E14" s="6">
        <v>1.4999999999999999E-2</v>
      </c>
    </row>
    <row r="16" spans="1:5" x14ac:dyDescent="0.2">
      <c r="C16" t="s">
        <v>73</v>
      </c>
      <c r="E16" s="7">
        <f>E14*E12</f>
        <v>4875000</v>
      </c>
    </row>
    <row r="18" spans="3:5" x14ac:dyDescent="0.2">
      <c r="C18" t="s">
        <v>74</v>
      </c>
      <c r="E18" s="37">
        <v>0.3</v>
      </c>
    </row>
    <row r="20" spans="3:5" x14ac:dyDescent="0.2">
      <c r="C20" t="s">
        <v>81</v>
      </c>
      <c r="E20" s="7">
        <f>E18*E10</f>
        <v>652500000</v>
      </c>
    </row>
    <row r="22" spans="3:5" x14ac:dyDescent="0.2">
      <c r="C22" t="s">
        <v>75</v>
      </c>
      <c r="E22" s="7">
        <f>Calculator!E6-E6</f>
        <v>500000000</v>
      </c>
    </row>
    <row r="24" spans="3:5" x14ac:dyDescent="0.2">
      <c r="C24" t="s">
        <v>79</v>
      </c>
      <c r="E24" s="7">
        <f>E16*E30</f>
        <v>1218750</v>
      </c>
    </row>
    <row r="26" spans="3:5" x14ac:dyDescent="0.2">
      <c r="C26" t="s">
        <v>82</v>
      </c>
      <c r="E26" s="7">
        <f>E12*E32*E34</f>
        <v>83980000</v>
      </c>
    </row>
    <row r="28" spans="3:5" x14ac:dyDescent="0.2">
      <c r="C28" s="26" t="s">
        <v>76</v>
      </c>
      <c r="D28" s="26"/>
      <c r="E28" s="54">
        <f>SUM(E20:E26)</f>
        <v>1237698750</v>
      </c>
    </row>
    <row r="30" spans="3:5" x14ac:dyDescent="0.2">
      <c r="C30" t="s">
        <v>80</v>
      </c>
      <c r="E30" s="48">
        <v>0.25</v>
      </c>
    </row>
    <row r="32" spans="3:5" x14ac:dyDescent="0.2">
      <c r="C32" t="s">
        <v>83</v>
      </c>
      <c r="E32" s="48">
        <v>0.76</v>
      </c>
    </row>
    <row r="34" spans="3:5" x14ac:dyDescent="0.2">
      <c r="C34" t="s">
        <v>84</v>
      </c>
      <c r="E34" s="48">
        <v>0.34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Calculator</vt:lpstr>
      <vt:lpstr>Days</vt:lpstr>
      <vt:lpstr>Nights &amp; Weekends</vt:lpstr>
      <vt:lpstr>Bank Hol</vt:lpstr>
      <vt:lpstr>Pay scales</vt:lpstr>
      <vt:lpstr>Govt 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Woods Ballard</dc:creator>
  <cp:lastModifiedBy>Hugh Woods Ballard</cp:lastModifiedBy>
  <dcterms:created xsi:type="dcterms:W3CDTF">2024-11-11T11:00:34Z</dcterms:created>
  <dcterms:modified xsi:type="dcterms:W3CDTF">2024-12-01T10:59:43Z</dcterms:modified>
</cp:coreProperties>
</file>